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27495" windowHeight="11385" activeTab="1"/>
  </bookViews>
  <sheets>
    <sheet name="Overview" sheetId="1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A140" i="2" l="1"/>
  <c r="A51" i="2" l="1"/>
  <c r="A144" i="2" l="1"/>
  <c r="A143" i="2"/>
  <c r="A142" i="2"/>
  <c r="A141" i="2"/>
  <c r="A139" i="2"/>
  <c r="A138" i="2"/>
  <c r="A137" i="2"/>
  <c r="A136" i="2"/>
  <c r="A135" i="2"/>
  <c r="A134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  <c r="A4" i="1" l="1"/>
  <c r="Y145" i="1" l="1"/>
  <c r="A145" i="1"/>
  <c r="Y144" i="1"/>
  <c r="A144" i="1"/>
  <c r="Y143" i="1"/>
  <c r="A143" i="1"/>
  <c r="Y142" i="1"/>
  <c r="A142" i="1"/>
  <c r="Y141" i="1"/>
  <c r="A141" i="1"/>
  <c r="Y140" i="1"/>
  <c r="A140" i="1"/>
  <c r="Y139" i="1"/>
  <c r="A139" i="1"/>
  <c r="Y138" i="1"/>
  <c r="A138" i="1"/>
  <c r="Y137" i="1"/>
  <c r="A137" i="1"/>
  <c r="Y136" i="1"/>
  <c r="A136" i="1"/>
  <c r="Y135" i="1"/>
  <c r="A135" i="1"/>
  <c r="Y132" i="1"/>
  <c r="A132" i="1"/>
  <c r="Y131" i="1"/>
  <c r="A131" i="1"/>
  <c r="Y130" i="1"/>
  <c r="A130" i="1"/>
  <c r="Y129" i="1"/>
  <c r="A129" i="1"/>
  <c r="Y128" i="1"/>
  <c r="A128" i="1"/>
  <c r="Y127" i="1"/>
  <c r="A127" i="1"/>
  <c r="Y126" i="1"/>
  <c r="A126" i="1"/>
  <c r="Y125" i="1"/>
  <c r="A125" i="1"/>
  <c r="Y124" i="1"/>
  <c r="A124" i="1"/>
  <c r="Y123" i="1"/>
  <c r="A123" i="1"/>
  <c r="Y122" i="1"/>
  <c r="A122" i="1"/>
  <c r="Y121" i="1"/>
  <c r="A121" i="1"/>
  <c r="Y120" i="1"/>
  <c r="A120" i="1"/>
  <c r="Y119" i="1"/>
  <c r="A119" i="1"/>
  <c r="Y118" i="1"/>
  <c r="A118" i="1"/>
  <c r="Y117" i="1"/>
  <c r="A117" i="1"/>
  <c r="Y116" i="1"/>
  <c r="A116" i="1"/>
  <c r="Y115" i="1"/>
  <c r="A115" i="1"/>
  <c r="Y114" i="1"/>
  <c r="A114" i="1"/>
  <c r="Y113" i="1"/>
  <c r="A113" i="1"/>
  <c r="Y112" i="1"/>
  <c r="A112" i="1"/>
  <c r="Y111" i="1"/>
  <c r="A111" i="1"/>
  <c r="Y110" i="1"/>
  <c r="A110" i="1"/>
  <c r="Y109" i="1"/>
  <c r="A109" i="1"/>
  <c r="Y108" i="1"/>
  <c r="A108" i="1"/>
  <c r="Y107" i="1"/>
  <c r="A107" i="1"/>
  <c r="Y106" i="1"/>
  <c r="A106" i="1"/>
  <c r="Y105" i="1"/>
  <c r="A105" i="1"/>
  <c r="Y104" i="1"/>
  <c r="A104" i="1"/>
  <c r="Y103" i="1"/>
  <c r="A103" i="1"/>
  <c r="Y102" i="1"/>
  <c r="A102" i="1"/>
  <c r="Y101" i="1"/>
  <c r="A101" i="1"/>
  <c r="Y100" i="1"/>
  <c r="A100" i="1"/>
  <c r="Y99" i="1"/>
  <c r="A99" i="1"/>
  <c r="Y98" i="1"/>
  <c r="A98" i="1"/>
  <c r="Y97" i="1"/>
  <c r="A97" i="1"/>
  <c r="Y96" i="1"/>
  <c r="A96" i="1"/>
  <c r="Y95" i="1"/>
  <c r="A95" i="1"/>
  <c r="Y94" i="1"/>
  <c r="A94" i="1"/>
  <c r="Y93" i="1"/>
  <c r="A93" i="1"/>
  <c r="Y92" i="1"/>
  <c r="A92" i="1"/>
  <c r="Y91" i="1"/>
  <c r="A91" i="1"/>
  <c r="Y90" i="1"/>
  <c r="A90" i="1"/>
  <c r="Y89" i="1"/>
  <c r="A89" i="1"/>
  <c r="Y88" i="1"/>
  <c r="A88" i="1"/>
  <c r="Y87" i="1"/>
  <c r="A87" i="1"/>
  <c r="Y86" i="1"/>
  <c r="A86" i="1"/>
  <c r="Y85" i="1"/>
  <c r="A85" i="1"/>
  <c r="Y84" i="1"/>
  <c r="A84" i="1"/>
  <c r="Y83" i="1"/>
  <c r="A83" i="1"/>
  <c r="Y82" i="1"/>
  <c r="A82" i="1"/>
  <c r="Y81" i="1"/>
  <c r="A81" i="1"/>
  <c r="Y80" i="1"/>
  <c r="A80" i="1"/>
  <c r="Y79" i="1"/>
  <c r="A79" i="1"/>
  <c r="Y78" i="1"/>
  <c r="A78" i="1"/>
  <c r="Y77" i="1"/>
  <c r="A77" i="1"/>
  <c r="Y76" i="1"/>
  <c r="A76" i="1"/>
  <c r="Y75" i="1"/>
  <c r="A75" i="1"/>
  <c r="Y74" i="1"/>
  <c r="A74" i="1"/>
  <c r="Y73" i="1"/>
  <c r="A73" i="1"/>
  <c r="Y72" i="1"/>
  <c r="A72" i="1"/>
  <c r="Y71" i="1"/>
  <c r="A71" i="1"/>
  <c r="Y70" i="1"/>
  <c r="A70" i="1"/>
  <c r="Y69" i="1"/>
  <c r="A69" i="1"/>
  <c r="Y68" i="1"/>
  <c r="A68" i="1"/>
  <c r="Y67" i="1"/>
  <c r="A67" i="1"/>
  <c r="Y66" i="1"/>
  <c r="A66" i="1"/>
  <c r="Y65" i="1"/>
  <c r="A65" i="1"/>
  <c r="Y64" i="1"/>
  <c r="A64" i="1"/>
  <c r="Y63" i="1"/>
  <c r="A63" i="1"/>
  <c r="Y62" i="1"/>
  <c r="A62" i="1"/>
  <c r="Y61" i="1"/>
  <c r="A61" i="1"/>
  <c r="Y60" i="1"/>
  <c r="A60" i="1"/>
  <c r="Y59" i="1"/>
  <c r="A59" i="1"/>
  <c r="Y58" i="1"/>
  <c r="A58" i="1"/>
  <c r="Y57" i="1"/>
  <c r="A57" i="1"/>
  <c r="Y56" i="1"/>
  <c r="A56" i="1"/>
  <c r="Y55" i="1"/>
  <c r="A55" i="1"/>
  <c r="Y54" i="1"/>
  <c r="A54" i="1"/>
  <c r="Y53" i="1"/>
  <c r="A53" i="1"/>
  <c r="Y52" i="1"/>
  <c r="Y51" i="1"/>
  <c r="A51" i="1"/>
  <c r="Y50" i="1"/>
  <c r="A50" i="1"/>
  <c r="Y49" i="1"/>
  <c r="A49" i="1"/>
  <c r="Y48" i="1"/>
  <c r="A48" i="1"/>
  <c r="Y47" i="1"/>
  <c r="A47" i="1"/>
  <c r="Y46" i="1"/>
  <c r="A46" i="1"/>
  <c r="Y45" i="1"/>
  <c r="A45" i="1"/>
  <c r="Y44" i="1"/>
  <c r="A44" i="1"/>
  <c r="Y43" i="1"/>
  <c r="A43" i="1"/>
  <c r="Y42" i="1"/>
  <c r="A42" i="1"/>
  <c r="Y41" i="1"/>
  <c r="A41" i="1"/>
  <c r="Y40" i="1"/>
  <c r="A40" i="1"/>
  <c r="Y39" i="1"/>
  <c r="A39" i="1"/>
  <c r="Y38" i="1"/>
  <c r="A38" i="1"/>
  <c r="Y37" i="1"/>
  <c r="A37" i="1"/>
  <c r="Y36" i="1"/>
  <c r="A36" i="1"/>
  <c r="Y35" i="1"/>
  <c r="A35" i="1"/>
  <c r="Y34" i="1"/>
  <c r="A34" i="1"/>
  <c r="Y33" i="1"/>
  <c r="A33" i="1"/>
  <c r="Y32" i="1"/>
  <c r="A32" i="1"/>
  <c r="Y31" i="1"/>
  <c r="A31" i="1"/>
  <c r="Y30" i="1"/>
  <c r="A30" i="1"/>
  <c r="Y29" i="1"/>
  <c r="A29" i="1"/>
  <c r="Y28" i="1"/>
  <c r="A28" i="1"/>
  <c r="Y27" i="1"/>
  <c r="A27" i="1"/>
  <c r="Y26" i="1"/>
  <c r="A26" i="1"/>
  <c r="Y25" i="1"/>
  <c r="A25" i="1"/>
  <c r="Y24" i="1"/>
  <c r="A24" i="1"/>
  <c r="Y23" i="1"/>
  <c r="A23" i="1"/>
  <c r="Y22" i="1"/>
  <c r="A22" i="1"/>
  <c r="Y21" i="1"/>
  <c r="A21" i="1"/>
  <c r="Y20" i="1"/>
  <c r="A20" i="1"/>
  <c r="Y19" i="1"/>
  <c r="A19" i="1"/>
  <c r="Y18" i="1"/>
  <c r="A18" i="1"/>
  <c r="Y17" i="1"/>
  <c r="A17" i="1"/>
  <c r="Y16" i="1"/>
  <c r="A16" i="1"/>
  <c r="Y15" i="1"/>
  <c r="A15" i="1"/>
  <c r="Y14" i="1"/>
  <c r="A14" i="1"/>
  <c r="Y13" i="1"/>
  <c r="A13" i="1"/>
  <c r="Y12" i="1"/>
  <c r="A12" i="1"/>
  <c r="Y11" i="1"/>
  <c r="A11" i="1"/>
  <c r="Y10" i="1"/>
  <c r="A10" i="1"/>
  <c r="Y9" i="1"/>
  <c r="A9" i="1"/>
  <c r="Y8" i="1"/>
  <c r="A8" i="1"/>
  <c r="Y7" i="1"/>
  <c r="A7" i="1"/>
  <c r="Y6" i="1"/>
  <c r="A6" i="1"/>
  <c r="Y5" i="1"/>
  <c r="A5" i="1"/>
  <c r="Y4" i="1"/>
  <c r="Y3" i="1"/>
  <c r="A3" i="1"/>
  <c r="Y2" i="1"/>
  <c r="A2" i="1"/>
</calcChain>
</file>

<file path=xl/sharedStrings.xml><?xml version="1.0" encoding="utf-8"?>
<sst xmlns="http://schemas.openxmlformats.org/spreadsheetml/2006/main" count="4414" uniqueCount="1088">
  <si>
    <t>State</t>
  </si>
  <si>
    <t>*These course requirements are subject to change.  All data is drawn from the 2016 edition of MSAR® Online (https://www.aamc.org/students/applying/requirements/msar) and the individual Medical School Admissions Office websites. Should there be any questions or discrepancies, please refer to MSAR® Online and the individual Medical School Admissions Office websites. If a link is broken, or if an error is discovered, please contact premed@fas.harvard.edu.
^Fee waiver available, unless otherwise indicated
**Residents of WA, WY, AK, MT and ID are considered "in-state"</t>
  </si>
  <si>
    <t>Type</t>
  </si>
  <si>
    <t>Accepts Out-of-state Applicants</t>
  </si>
  <si>
    <t>Accepts International Applicants</t>
  </si>
  <si>
    <t>In vs. Out-of-state Apps</t>
  </si>
  <si>
    <t>Interviews in vs. Out-of-state</t>
  </si>
  <si>
    <t>Matriculants In vs. Out-of-state</t>
  </si>
  <si>
    <t>Biochemistry Requirement</t>
  </si>
  <si>
    <t>Biology Requirement Beyond 1 Year</t>
  </si>
  <si>
    <t>College Math</t>
  </si>
  <si>
    <t>College Calculus</t>
  </si>
  <si>
    <t>Statistics</t>
  </si>
  <si>
    <t>Additional Course Requirements*</t>
  </si>
  <si>
    <t>Interview Format (interviewee by interviewers)</t>
  </si>
  <si>
    <t>Accepts AP Credit</t>
  </si>
  <si>
    <t>Oldest MCAT Accepted</t>
  </si>
  <si>
    <t>Secondary Fee^</t>
  </si>
  <si>
    <t>Primary Type(s) of Financial Aid</t>
  </si>
  <si>
    <t>Link to School's Academic Requirements</t>
  </si>
  <si>
    <t>AL</t>
  </si>
  <si>
    <t>Public</t>
  </si>
  <si>
    <t>Y</t>
  </si>
  <si>
    <t>N</t>
  </si>
  <si>
    <t>436/2664</t>
  </si>
  <si>
    <t>266/108</t>
  </si>
  <si>
    <t>169/17</t>
  </si>
  <si>
    <t>2 semesters</t>
  </si>
  <si>
    <t>No</t>
  </si>
  <si>
    <t>Individual</t>
  </si>
  <si>
    <t>Case-by-case</t>
  </si>
  <si>
    <t>Merit and Need</t>
  </si>
  <si>
    <t>418/869</t>
  </si>
  <si>
    <t>211/11</t>
  </si>
  <si>
    <t>71/5</t>
  </si>
  <si>
    <t>N (recommended)</t>
  </si>
  <si>
    <t>Humanities (in addition to English) - 2 semesters</t>
  </si>
  <si>
    <t>AR</t>
  </si>
  <si>
    <t>345/1968</t>
  </si>
  <si>
    <t>300/86</t>
  </si>
  <si>
    <t>142/26</t>
  </si>
  <si>
    <t>Y- 1 semester of Genetics</t>
  </si>
  <si>
    <t>2 semesters Behavioral Sciences</t>
  </si>
  <si>
    <t>Blind Group</t>
  </si>
  <si>
    <t>Yes</t>
  </si>
  <si>
    <t>See Website</t>
  </si>
  <si>
    <t>AZ</t>
  </si>
  <si>
    <t>792/4024</t>
  </si>
  <si>
    <t>367/241</t>
  </si>
  <si>
    <t>75/40</t>
  </si>
  <si>
    <t>MMI</t>
  </si>
  <si>
    <t>447/3416</t>
  </si>
  <si>
    <t>162/133</t>
  </si>
  <si>
    <t>55/25</t>
  </si>
  <si>
    <t>Y (1 semester Physiology)</t>
  </si>
  <si>
    <t>1 semester</t>
  </si>
  <si>
    <t>CA</t>
  </si>
  <si>
    <t>Private</t>
  </si>
  <si>
    <t>3947/3333</t>
  </si>
  <si>
    <t>470/257</t>
  </si>
  <si>
    <t>142/43</t>
  </si>
  <si>
    <t>Ind, closed</t>
  </si>
  <si>
    <t>2371/3121</t>
  </si>
  <si>
    <t>198/179</t>
  </si>
  <si>
    <t>71/84</t>
  </si>
  <si>
    <t>Y (1 semester)</t>
  </si>
  <si>
    <t>No (Psychology/Sociology recommended)</t>
  </si>
  <si>
    <t>2 x 1 on 1</t>
  </si>
  <si>
    <t>Yes (only for English, Psychology, Sociology)</t>
  </si>
  <si>
    <t>Need</t>
  </si>
  <si>
    <t>2574/4462</t>
  </si>
  <si>
    <t>196/293</t>
  </si>
  <si>
    <t>39/48</t>
  </si>
  <si>
    <t>No (Behavioral/Social Sciences recommended)</t>
  </si>
  <si>
    <t>4194/1554</t>
  </si>
  <si>
    <t>478/21</t>
  </si>
  <si>
    <t>99/3</t>
  </si>
  <si>
    <t>No (social sciences, humanities)</t>
  </si>
  <si>
    <t>4400/1423</t>
  </si>
  <si>
    <t>492/62</t>
  </si>
  <si>
    <t>88/16</t>
  </si>
  <si>
    <t>Y - 1 semester</t>
  </si>
  <si>
    <t>Y- 1 additional semester Adv. Level Bio</t>
  </si>
  <si>
    <t>by faculty and students</t>
  </si>
  <si>
    <t>6247/3570</t>
  </si>
  <si>
    <t>771/150</t>
  </si>
  <si>
    <t>144/31</t>
  </si>
  <si>
    <t>4074/1217</t>
  </si>
  <si>
    <t>205/6</t>
  </si>
  <si>
    <t>50/0</t>
  </si>
  <si>
    <t>Y (for English and Math)</t>
  </si>
  <si>
    <t>4199/3060</t>
  </si>
  <si>
    <t>537/190</t>
  </si>
  <si>
    <t>95/29</t>
  </si>
  <si>
    <t>Open or MMI</t>
  </si>
  <si>
    <t>3559/3730</t>
  </si>
  <si>
    <t>347/152</t>
  </si>
  <si>
    <t>129/35</t>
  </si>
  <si>
    <t>CO</t>
  </si>
  <si>
    <t>683/5488</t>
  </si>
  <si>
    <t>299/376</t>
  </si>
  <si>
    <t>117/64</t>
  </si>
  <si>
    <t>N/A</t>
  </si>
  <si>
    <t>CT</t>
  </si>
  <si>
    <t>368/4750</t>
  </si>
  <si>
    <t>56/294</t>
  </si>
  <si>
    <t>21/69</t>
  </si>
  <si>
    <t>1 on 1</t>
  </si>
  <si>
    <t>486/1976</t>
  </si>
  <si>
    <t>215/146</t>
  </si>
  <si>
    <t>75/23</t>
  </si>
  <si>
    <t>No (Social Sciences/Psychology recommended)</t>
  </si>
  <si>
    <t>1 on 1 and group</t>
  </si>
  <si>
    <t>204/4951</t>
  </si>
  <si>
    <t>34/657</t>
  </si>
  <si>
    <t>5/83</t>
  </si>
  <si>
    <t>1 on 1, open</t>
  </si>
  <si>
    <t>DC</t>
  </si>
  <si>
    <t>68/13659</t>
  </si>
  <si>
    <t>0/1093</t>
  </si>
  <si>
    <t>7/166</t>
  </si>
  <si>
    <t>2 x 1 on 1, blind</t>
  </si>
  <si>
    <t>Merit</t>
  </si>
  <si>
    <t>65/12309</t>
  </si>
  <si>
    <t>22/1123</t>
  </si>
  <si>
    <t>7/186</t>
  </si>
  <si>
    <t>N (Genetics recommended)</t>
  </si>
  <si>
    <t>42/6732</t>
  </si>
  <si>
    <t>8/285</t>
  </si>
  <si>
    <t>5/105</t>
  </si>
  <si>
    <t>Not Specified</t>
  </si>
  <si>
    <t>$75, no waiver</t>
  </si>
  <si>
    <t>FL</t>
  </si>
  <si>
    <t>1990/1225</t>
  </si>
  <si>
    <t>224/76</t>
  </si>
  <si>
    <t>46/18</t>
  </si>
  <si>
    <t>open file &amp; behavioral</t>
  </si>
  <si>
    <t>2045/2087</t>
  </si>
  <si>
    <t>422/147</t>
  </si>
  <si>
    <t>97/22</t>
  </si>
  <si>
    <t>1 on 2, blind</t>
  </si>
  <si>
    <t>2299/2921</t>
  </si>
  <si>
    <t>321/9</t>
  </si>
  <si>
    <t>117/3</t>
  </si>
  <si>
    <t>1 on 2</t>
  </si>
  <si>
    <t>2189/1980</t>
  </si>
  <si>
    <t>291/134</t>
  </si>
  <si>
    <t>85/35</t>
  </si>
  <si>
    <t>2 x 1 on 1, partially closed</t>
  </si>
  <si>
    <t>2116/1512</t>
  </si>
  <si>
    <t>340/43</t>
  </si>
  <si>
    <t>119/16</t>
  </si>
  <si>
    <t>1996/5469</t>
  </si>
  <si>
    <t>318/194</t>
  </si>
  <si>
    <t>86/113</t>
  </si>
  <si>
    <t>Open file, structured, one-hour interviews</t>
  </si>
  <si>
    <t>Not specified</t>
  </si>
  <si>
    <t>2235/1747</t>
  </si>
  <si>
    <t>302/107</t>
  </si>
  <si>
    <t>118/52</t>
  </si>
  <si>
    <t>MCOM Core Program: open; MCOM SELECT: closed</t>
  </si>
  <si>
    <t>GA</t>
  </si>
  <si>
    <t>792/6271</t>
  </si>
  <si>
    <t>125/538</t>
  </si>
  <si>
    <t>42/91</t>
  </si>
  <si>
    <t>Group and Individual</t>
  </si>
  <si>
    <t>Need (4 merit)</t>
  </si>
  <si>
    <t>1216/1346</t>
  </si>
  <si>
    <t>550/84</t>
  </si>
  <si>
    <t>220/9</t>
  </si>
  <si>
    <t>2 x 1 on 1; 1 open, 1 closed</t>
  </si>
  <si>
    <t>1144/0</t>
  </si>
  <si>
    <t>782/0</t>
  </si>
  <si>
    <t>107/0</t>
  </si>
  <si>
    <t>Need and Merit</t>
  </si>
  <si>
    <t>671/4489</t>
  </si>
  <si>
    <t>199/100</t>
  </si>
  <si>
    <t>63/15</t>
  </si>
  <si>
    <t>HI</t>
  </si>
  <si>
    <t>229/1793</t>
  </si>
  <si>
    <t>176/74</t>
  </si>
  <si>
    <t>54/11</t>
  </si>
  <si>
    <t>Physics</t>
  </si>
  <si>
    <t>3 x 1 on 1</t>
  </si>
  <si>
    <t>$150, no waiver</t>
  </si>
  <si>
    <t>IA</t>
  </si>
  <si>
    <t>378/3121</t>
  </si>
  <si>
    <t>315/397</t>
  </si>
  <si>
    <t>101/51</t>
  </si>
  <si>
    <t>Y- 1 add. semester Advanced Bio</t>
  </si>
  <si>
    <t>Yes except Biochem and Advanced Bio on case-by-case basis</t>
  </si>
  <si>
    <t>IL</t>
  </si>
  <si>
    <t>1630/8306</t>
  </si>
  <si>
    <t>203/364</t>
  </si>
  <si>
    <t>73/81</t>
  </si>
  <si>
    <t>Individual, semi-open file and closed file</t>
  </si>
  <si>
    <t>990/6192</t>
  </si>
  <si>
    <t>72/613</t>
  </si>
  <si>
    <t>34/117</t>
  </si>
  <si>
    <t>1 on 1 and panel</t>
  </si>
  <si>
    <t>1504/9779</t>
  </si>
  <si>
    <t>135/431</t>
  </si>
  <si>
    <t>52/128</t>
  </si>
  <si>
    <t>8 on-campus with committee members, faculty, staff and/or fourth -year students</t>
  </si>
  <si>
    <t>1644/7783</t>
  </si>
  <si>
    <t>178/257</t>
  </si>
  <si>
    <t>66/62</t>
  </si>
  <si>
    <t>1222/0</t>
  </si>
  <si>
    <t>300/0</t>
  </si>
  <si>
    <t>72/0</t>
  </si>
  <si>
    <t>MD: 2 x 1 on 1; MD/JD: 3 x 1 on 1</t>
  </si>
  <si>
    <t>762/4684</t>
  </si>
  <si>
    <t>69/526</t>
  </si>
  <si>
    <t>18/71</t>
  </si>
  <si>
    <t>1939/5971</t>
  </si>
  <si>
    <t>599/298</t>
  </si>
  <si>
    <t>238/59</t>
  </si>
  <si>
    <t>Individual or panel</t>
  </si>
  <si>
    <t>IN</t>
  </si>
  <si>
    <t>726/4689</t>
  </si>
  <si>
    <t>591/511</t>
  </si>
  <si>
    <t>262/90</t>
  </si>
  <si>
    <t>No Secondary Application</t>
  </si>
  <si>
    <t>KS</t>
  </si>
  <si>
    <t>571/2747</t>
  </si>
  <si>
    <t>403/155</t>
  </si>
  <si>
    <t>187/24</t>
  </si>
  <si>
    <t>2 x 1 on 1, 1 open file with committee member</t>
  </si>
  <si>
    <t>Yes, except organic chemistry</t>
  </si>
  <si>
    <t>KY</t>
  </si>
  <si>
    <t>428/1635</t>
  </si>
  <si>
    <t>266/183</t>
  </si>
  <si>
    <t>88/41</t>
  </si>
  <si>
    <t>2 Individual</t>
  </si>
  <si>
    <t>No, except bio</t>
  </si>
  <si>
    <t>439/2674</t>
  </si>
  <si>
    <t>288/130</t>
  </si>
  <si>
    <t>121/36</t>
  </si>
  <si>
    <t>2 semesters OR 1 semester of calculus</t>
  </si>
  <si>
    <t>LA</t>
  </si>
  <si>
    <t>617/556</t>
  </si>
  <si>
    <t>249/6</t>
  </si>
  <si>
    <t>120/3</t>
  </si>
  <si>
    <t>Individual, 2 closed and 1 open</t>
  </si>
  <si>
    <t>Only Canadian</t>
  </si>
  <si>
    <t>715/1764</t>
  </si>
  <si>
    <t>381/80</t>
  </si>
  <si>
    <t>173/20</t>
  </si>
  <si>
    <t>422/8733</t>
  </si>
  <si>
    <t>48/456</t>
  </si>
  <si>
    <t>24/166</t>
  </si>
  <si>
    <t>MA</t>
  </si>
  <si>
    <t>899/9879</t>
  </si>
  <si>
    <t>171/825</t>
  </si>
  <si>
    <t>39/117</t>
  </si>
  <si>
    <t>546/6502</t>
  </si>
  <si>
    <t>95/733</t>
  </si>
  <si>
    <t>26/123</t>
  </si>
  <si>
    <t>Y - 2 semesters</t>
  </si>
  <si>
    <t>Writing - 2 semesters</t>
  </si>
  <si>
    <t>Harvard Medical School (old)</t>
  </si>
  <si>
    <t>498/6178</t>
  </si>
  <si>
    <t>78/801</t>
  </si>
  <si>
    <t>13/146</t>
  </si>
  <si>
    <t>Y (class entering 2016)</t>
  </si>
  <si>
    <t>974/10046</t>
  </si>
  <si>
    <t>166/755</t>
  </si>
  <si>
    <t>62/137</t>
  </si>
  <si>
    <t>1031/157</t>
  </si>
  <si>
    <t>572/24</t>
  </si>
  <si>
    <t>120/5</t>
  </si>
  <si>
    <t>MMI consisting of 8 scenario stations</t>
  </si>
  <si>
    <t>MD</t>
  </si>
  <si>
    <t>429/5484</t>
  </si>
  <si>
    <t>73/622</t>
  </si>
  <si>
    <t>17/98</t>
  </si>
  <si>
    <t>Y- or stats</t>
  </si>
  <si>
    <t>Y-or calc</t>
  </si>
  <si>
    <t>204/2535</t>
  </si>
  <si>
    <t>58/518</t>
  </si>
  <si>
    <t>21/152</t>
  </si>
  <si>
    <t>2 x 30-minutes with medical corps officers</t>
  </si>
  <si>
    <t>Except orgo</t>
  </si>
  <si>
    <t>N/A (No tuition)</t>
  </si>
  <si>
    <t>953/3847</t>
  </si>
  <si>
    <t>340/284</t>
  </si>
  <si>
    <t>119/38</t>
  </si>
  <si>
    <t>$80, no waiver</t>
  </si>
  <si>
    <t>MI</t>
  </si>
  <si>
    <t>1171/1593</t>
  </si>
  <si>
    <t>223/67</t>
  </si>
  <si>
    <t>96/5</t>
  </si>
  <si>
    <t>1600/4479</t>
  </si>
  <si>
    <t>404/109</t>
  </si>
  <si>
    <t>162/26</t>
  </si>
  <si>
    <t>Y- 2 additional semesters Upper Level Bio</t>
  </si>
  <si>
    <t>MMI &amp; 1 on 1</t>
  </si>
  <si>
    <t>1381/2907</t>
  </si>
  <si>
    <t>194/209</t>
  </si>
  <si>
    <t>44/55</t>
  </si>
  <si>
    <t>1152/4608</t>
  </si>
  <si>
    <t>179/399</t>
  </si>
  <si>
    <t>84/92</t>
  </si>
  <si>
    <t>hybrid open interviews</t>
  </si>
  <si>
    <t>1588/2438</t>
  </si>
  <si>
    <t>561/171</t>
  </si>
  <si>
    <t>214/40</t>
  </si>
  <si>
    <t>1168/2396</t>
  </si>
  <si>
    <t>171/162</t>
  </si>
  <si>
    <t>23/31</t>
  </si>
  <si>
    <t>MN</t>
  </si>
  <si>
    <t>426/4015</t>
  </si>
  <si>
    <t>30/276</t>
  </si>
  <si>
    <t>9/43</t>
  </si>
  <si>
    <t>832/3137</t>
  </si>
  <si>
    <t>492/197</t>
  </si>
  <si>
    <t>192/37</t>
  </si>
  <si>
    <t>MO</t>
  </si>
  <si>
    <t>432/6414</t>
  </si>
  <si>
    <t>113/862</t>
  </si>
  <si>
    <t>38/133</t>
  </si>
  <si>
    <t>Need only</t>
  </si>
  <si>
    <t>510/1201</t>
  </si>
  <si>
    <t>324/132</t>
  </si>
  <si>
    <t>87/17</t>
  </si>
  <si>
    <t>2 x 1 on 1, open</t>
  </si>
  <si>
    <t>190/1075</t>
  </si>
  <si>
    <t>27/40</t>
  </si>
  <si>
    <t>68/53</t>
  </si>
  <si>
    <t>$50, no waiver</t>
  </si>
  <si>
    <t>181/3832</t>
  </si>
  <si>
    <t>48/910</t>
  </si>
  <si>
    <t>18/97</t>
  </si>
  <si>
    <t>Y - 2 semesters (1 semester of Stats can be used for 1 semester of Calc)</t>
  </si>
  <si>
    <t>MS</t>
  </si>
  <si>
    <t>333/0</t>
  </si>
  <si>
    <t>210/0</t>
  </si>
  <si>
    <t>145/0</t>
  </si>
  <si>
    <t>No data</t>
  </si>
  <si>
    <t>NC</t>
  </si>
  <si>
    <t>419/5357</t>
  </si>
  <si>
    <t>44/363</t>
  </si>
  <si>
    <t>10/94</t>
  </si>
  <si>
    <t>Only Calc and Inorganic chem</t>
  </si>
  <si>
    <t>925/0</t>
  </si>
  <si>
    <t>480/0</t>
  </si>
  <si>
    <t>80/0</t>
  </si>
  <si>
    <t>2 semi-blind</t>
  </si>
  <si>
    <t>Yes except case-by-case for orgo</t>
  </si>
  <si>
    <t>987/4531</t>
  </si>
  <si>
    <t>552/119</t>
  </si>
  <si>
    <t>151/28</t>
  </si>
  <si>
    <t>787/7218</t>
  </si>
  <si>
    <t>123/418</t>
  </si>
  <si>
    <t>32/88</t>
  </si>
  <si>
    <t>ND</t>
  </si>
  <si>
    <t>123/1560</t>
  </si>
  <si>
    <t>108/49</t>
  </si>
  <si>
    <t>59/19</t>
  </si>
  <si>
    <t>1 on 3</t>
  </si>
  <si>
    <t>NE</t>
  </si>
  <si>
    <t>171/6420</t>
  </si>
  <si>
    <t>45/604</t>
  </si>
  <si>
    <t>13/142</t>
  </si>
  <si>
    <t>284/1307</t>
  </si>
  <si>
    <t>240/167</t>
  </si>
  <si>
    <t>107/19</t>
  </si>
  <si>
    <t>Not Specified - by invitation only</t>
  </si>
  <si>
    <t>NH</t>
  </si>
  <si>
    <t>73/5212</t>
  </si>
  <si>
    <t>17/643</t>
  </si>
  <si>
    <t>4/77</t>
  </si>
  <si>
    <t>Y - or stats</t>
  </si>
  <si>
    <t>Y - or calc</t>
  </si>
  <si>
    <t>NJ</t>
  </si>
  <si>
    <t>1090/4019</t>
  </si>
  <si>
    <t>169/116</t>
  </si>
  <si>
    <t>53/19</t>
  </si>
  <si>
    <t>1 x 1 on 2; 2 x 1 on 1</t>
  </si>
  <si>
    <t>1484/2076</t>
  </si>
  <si>
    <t>555/40</t>
  </si>
  <si>
    <t>176/1</t>
  </si>
  <si>
    <t>1440/2099</t>
  </si>
  <si>
    <t>470/58</t>
  </si>
  <si>
    <t>136/5</t>
  </si>
  <si>
    <t>NM</t>
  </si>
  <si>
    <t>289/898</t>
  </si>
  <si>
    <t>262/32</t>
  </si>
  <si>
    <t>91/10</t>
  </si>
  <si>
    <t>NV</t>
  </si>
  <si>
    <t>231/1038</t>
  </si>
  <si>
    <t>197/48</t>
  </si>
  <si>
    <t>59/11</t>
  </si>
  <si>
    <t>NY</t>
  </si>
  <si>
    <t>1885/7169</t>
  </si>
  <si>
    <t>290/689</t>
  </si>
  <si>
    <t>56/82</t>
  </si>
  <si>
    <t>1746/5806</t>
  </si>
  <si>
    <t>436/921</t>
  </si>
  <si>
    <t>78/102</t>
  </si>
  <si>
    <t>1195/5681</t>
  </si>
  <si>
    <t>171/828</t>
  </si>
  <si>
    <t>41/110</t>
  </si>
  <si>
    <t>1926/4250</t>
  </si>
  <si>
    <t>345/382</t>
  </si>
  <si>
    <t>53/45</t>
  </si>
  <si>
    <t>Only Psych and Social Sciences</t>
  </si>
  <si>
    <t>1402/4564</t>
  </si>
  <si>
    <t>190/633</t>
  </si>
  <si>
    <t>49/86</t>
  </si>
  <si>
    <t>2 individual</t>
  </si>
  <si>
    <t>Y - except inorganic chem and bio</t>
  </si>
  <si>
    <t>2147/9539</t>
  </si>
  <si>
    <t>379/876</t>
  </si>
  <si>
    <t>55/138</t>
  </si>
  <si>
    <t>1517/6429</t>
  </si>
  <si>
    <t>185/822</t>
  </si>
  <si>
    <t>46/99</t>
  </si>
  <si>
    <t>2469/2798</t>
  </si>
  <si>
    <t>726/418</t>
  </si>
  <si>
    <t>163/25</t>
  </si>
  <si>
    <t>2107/1842</t>
  </si>
  <si>
    <t>604/125</t>
  </si>
  <si>
    <t>143/6</t>
  </si>
  <si>
    <t>2435/2825</t>
  </si>
  <si>
    <t>515/231</t>
  </si>
  <si>
    <t>99/26</t>
  </si>
  <si>
    <t>2097/2033</t>
  </si>
  <si>
    <t>390/212</t>
  </si>
  <si>
    <t>128/16</t>
  </si>
  <si>
    <t>1368/3943</t>
  </si>
  <si>
    <t>187/398</t>
  </si>
  <si>
    <t>37/63</t>
  </si>
  <si>
    <t>2 individual, 1 group</t>
  </si>
  <si>
    <t>1239/4687</t>
  </si>
  <si>
    <t>148/622</t>
  </si>
  <si>
    <t>31/66</t>
  </si>
  <si>
    <t>Only physics</t>
  </si>
  <si>
    <t>OH</t>
  </si>
  <si>
    <t>796/5102</t>
  </si>
  <si>
    <t>133/803</t>
  </si>
  <si>
    <t>36/162</t>
  </si>
  <si>
    <t>Differ by Track</t>
  </si>
  <si>
    <t>1043/1255</t>
  </si>
  <si>
    <t>161/14</t>
  </si>
  <si>
    <t>144/3</t>
  </si>
  <si>
    <t>1192/4199</t>
  </si>
  <si>
    <t>300/432</t>
  </si>
  <si>
    <t>107/85</t>
  </si>
  <si>
    <t>1280/3891</t>
  </si>
  <si>
    <t>349/276</t>
  </si>
  <si>
    <t>114/57</t>
  </si>
  <si>
    <t>1209/3130</t>
  </si>
  <si>
    <t>364/175</t>
  </si>
  <si>
    <t>139/37</t>
  </si>
  <si>
    <t>1188/2355</t>
  </si>
  <si>
    <t>325/108</t>
  </si>
  <si>
    <t>68/40</t>
  </si>
  <si>
    <t>OK</t>
  </si>
  <si>
    <t>364/1554</t>
  </si>
  <si>
    <t>261/46</t>
  </si>
  <si>
    <t>148/17</t>
  </si>
  <si>
    <t>OR</t>
  </si>
  <si>
    <t>453/5187</t>
  </si>
  <si>
    <t>271/251</t>
  </si>
  <si>
    <t>102/37</t>
  </si>
  <si>
    <t>MMI, including 1 on 1</t>
  </si>
  <si>
    <t>PA</t>
  </si>
  <si>
    <t>1250/13358</t>
  </si>
  <si>
    <t>381/901</t>
  </si>
  <si>
    <t>87/173</t>
  </si>
  <si>
    <t>1148/8391</t>
  </si>
  <si>
    <t>197/625</t>
  </si>
  <si>
    <t>88/164</t>
  </si>
  <si>
    <t>1156/6905</t>
  </si>
  <si>
    <t>305/532</t>
  </si>
  <si>
    <t>58/87</t>
  </si>
  <si>
    <t>601/4866</t>
  </si>
  <si>
    <t>96/776</t>
  </si>
  <si>
    <t>21/134</t>
  </si>
  <si>
    <t>1271/9712</t>
  </si>
  <si>
    <t>369/612</t>
  </si>
  <si>
    <t>156/76</t>
  </si>
  <si>
    <t>2 interviews</t>
  </si>
  <si>
    <t>903/5027</t>
  </si>
  <si>
    <t>456/362</t>
  </si>
  <si>
    <t>78/22</t>
  </si>
  <si>
    <t>796/4467</t>
  </si>
  <si>
    <t>107/727</t>
  </si>
  <si>
    <t>37/104</t>
  </si>
  <si>
    <t>PR</t>
  </si>
  <si>
    <t>523/609</t>
  </si>
  <si>
    <t>224/16</t>
  </si>
  <si>
    <t>Group and Ind</t>
  </si>
  <si>
    <t>331/688</t>
  </si>
  <si>
    <t>86/65</t>
  </si>
  <si>
    <t>43/20</t>
  </si>
  <si>
    <t>Behavioral/Social Science - 6 hours; Spanish - 12 hours; Electives - 28 hours</t>
  </si>
  <si>
    <t>$100, no waiver</t>
  </si>
  <si>
    <t>522/643</t>
  </si>
  <si>
    <t>183/31</t>
  </si>
  <si>
    <t>437/0</t>
  </si>
  <si>
    <t>106/0</t>
  </si>
  <si>
    <t>$20, no waiver</t>
  </si>
  <si>
    <t>RI</t>
  </si>
  <si>
    <t>96/7579</t>
  </si>
  <si>
    <t>21/271</t>
  </si>
  <si>
    <t>13/111</t>
  </si>
  <si>
    <t>2 x 1 on 1, group</t>
  </si>
  <si>
    <t>SC</t>
  </si>
  <si>
    <t>591/3171</t>
  </si>
  <si>
    <t>340/80</t>
  </si>
  <si>
    <t>146/29</t>
  </si>
  <si>
    <t>494/2886</t>
  </si>
  <si>
    <t>289/87</t>
  </si>
  <si>
    <t>76/20</t>
  </si>
  <si>
    <t>494/2179</t>
  </si>
  <si>
    <t>225/127</t>
  </si>
  <si>
    <t>57/25</t>
  </si>
  <si>
    <t>SD</t>
  </si>
  <si>
    <t>131/373</t>
  </si>
  <si>
    <t>103/56</t>
  </si>
  <si>
    <t>48/10</t>
  </si>
  <si>
    <t>$35; no waiver</t>
  </si>
  <si>
    <t>TN</t>
  </si>
  <si>
    <t>647/1363</t>
  </si>
  <si>
    <t>255/35</t>
  </si>
  <si>
    <t>70/2</t>
  </si>
  <si>
    <t>253/5719</t>
  </si>
  <si>
    <t>28/450</t>
  </si>
  <si>
    <t>16/83</t>
  </si>
  <si>
    <t>741/973</t>
  </si>
  <si>
    <t>502/64</t>
  </si>
  <si>
    <t>155/10</t>
  </si>
  <si>
    <t>341/5914</t>
  </si>
  <si>
    <t>30/436</t>
  </si>
  <si>
    <t>9/76</t>
  </si>
  <si>
    <t>Merit and need</t>
  </si>
  <si>
    <t>TX</t>
  </si>
  <si>
    <t>1602/5128</t>
  </si>
  <si>
    <t>507/331</t>
  </si>
  <si>
    <t>145/38</t>
  </si>
  <si>
    <t>3206/910</t>
  </si>
  <si>
    <t>670/54</t>
  </si>
  <si>
    <t>185/15</t>
  </si>
  <si>
    <t>2765/592</t>
  </si>
  <si>
    <t>519/24</t>
  </si>
  <si>
    <t>102/2</t>
  </si>
  <si>
    <t>3047/724</t>
  </si>
  <si>
    <t>686/83</t>
  </si>
  <si>
    <t>158/23</t>
  </si>
  <si>
    <t>8 hours general chem</t>
  </si>
  <si>
    <t>3374/973</t>
  </si>
  <si>
    <t>977/112</t>
  </si>
  <si>
    <t>215/15</t>
  </si>
  <si>
    <t>2 individual; presentation and student panel</t>
  </si>
  <si>
    <t>3420/1143</t>
  </si>
  <si>
    <t>791/54</t>
  </si>
  <si>
    <t>222/17</t>
  </si>
  <si>
    <t>3292/1039</t>
  </si>
  <si>
    <t>1101/193</t>
  </si>
  <si>
    <t>189/24</t>
  </si>
  <si>
    <t>Yes except biochem</t>
  </si>
  <si>
    <t>3214/1147</t>
  </si>
  <si>
    <t>750/84</t>
  </si>
  <si>
    <t>199/33</t>
  </si>
  <si>
    <t>UT</t>
  </si>
  <si>
    <t>503/1004</t>
  </si>
  <si>
    <t>355/200</t>
  </si>
  <si>
    <t>83/19</t>
  </si>
  <si>
    <t>MMI, 2 x 1 on 1</t>
  </si>
  <si>
    <t>VA</t>
  </si>
  <si>
    <t>1015/5548</t>
  </si>
  <si>
    <t>352/396</t>
  </si>
  <si>
    <t>77/73</t>
  </si>
  <si>
    <t>Panel</t>
  </si>
  <si>
    <t>885/3644</t>
  </si>
  <si>
    <t>145/417</t>
  </si>
  <si>
    <t>72/77</t>
  </si>
  <si>
    <t>1076/6567</t>
  </si>
  <si>
    <t>544/480</t>
  </si>
  <si>
    <t>109/104</t>
  </si>
  <si>
    <t>663/2857</t>
  </si>
  <si>
    <t>78/167</t>
  </si>
  <si>
    <t>10/32</t>
  </si>
  <si>
    <t>MMI, 1 on 1</t>
  </si>
  <si>
    <t>VT</t>
  </si>
  <si>
    <t>87/5881</t>
  </si>
  <si>
    <t>64/515</t>
  </si>
  <si>
    <t>34/81</t>
  </si>
  <si>
    <t>WA</t>
  </si>
  <si>
    <t>840/5246**</t>
  </si>
  <si>
    <t>409/293</t>
  </si>
  <si>
    <t>121/119</t>
  </si>
  <si>
    <t>WI</t>
  </si>
  <si>
    <t>716/6560</t>
  </si>
  <si>
    <t>249/392</t>
  </si>
  <si>
    <t>99/103</t>
  </si>
  <si>
    <t>Format may vary by campus location</t>
  </si>
  <si>
    <t>730/4296</t>
  </si>
  <si>
    <t>388/213</t>
  </si>
  <si>
    <t>138/38</t>
  </si>
  <si>
    <t>Individual, group</t>
  </si>
  <si>
    <t>WV</t>
  </si>
  <si>
    <t>146/1607</t>
  </si>
  <si>
    <t>98/64</t>
  </si>
  <si>
    <t>60/19</t>
  </si>
  <si>
    <t>189/3206</t>
  </si>
  <si>
    <t>109/703</t>
  </si>
  <si>
    <t>58/52</t>
  </si>
  <si>
    <t>1 on 2; regional</t>
  </si>
  <si>
    <t>*These course requirements are subject to change.  All data is drawn from the 2016 edition of MSAR® Online (https://www.aamc.org/students/applying/requirements/msar) and the individual Medical School Admissions Office websites. Should there be any questions or discrepancies, please refer to MSAR® Online and the individual Medical School Admissions Office websites. If a link is broken, or if an error is discovered, please contact premed@fas.harvard.edu.</t>
  </si>
  <si>
    <t>^Fee waiver available, unless otherwise indicated</t>
  </si>
  <si>
    <t>**Residents of WA, WY, AK, MT and ID are considered "in-state"</t>
  </si>
  <si>
    <t>Notes</t>
  </si>
  <si>
    <t>will accept biology from community colleges.</t>
  </si>
  <si>
    <t>N (note- require biochemistry OR 2 semesters orgo with lab)</t>
  </si>
  <si>
    <t>recommended</t>
  </si>
  <si>
    <t>N (AP can count for 1 semester)</t>
  </si>
  <si>
    <t>English</t>
  </si>
  <si>
    <t>2 semesters (online or community college accepted, AP might be accepted)</t>
  </si>
  <si>
    <t>psych encouraged</t>
  </si>
  <si>
    <t>2 semesters w lab</t>
  </si>
  <si>
    <t>case-by-case (need to be on college transcript)</t>
  </si>
  <si>
    <t>Yes (must be on transcript)</t>
  </si>
  <si>
    <t>yes</t>
  </si>
  <si>
    <t>1 semester w lab</t>
  </si>
  <si>
    <t>Inorganic Chemistry</t>
  </si>
  <si>
    <t>Organic</t>
  </si>
  <si>
    <t>Yes (2 semesters with lab OR biochemistry)</t>
  </si>
  <si>
    <t>Y (2 semesters w lab)</t>
  </si>
  <si>
    <t>2 semesters w lab (accept AP credits, community college or online courses okay)</t>
  </si>
  <si>
    <t>Biology</t>
  </si>
  <si>
    <t>Yes (labs recommended)</t>
  </si>
  <si>
    <t>Y (2 semesters, lab recommended)</t>
  </si>
  <si>
    <t>No (2 semesters Social/Behavioral Sciences recommended, 1 semester of micro or immunology, conversational proficienty in second language)</t>
  </si>
  <si>
    <t>Y (either 2 semesters w lab or 1 semester orgo + 1 semester biochem)</t>
  </si>
  <si>
    <t>see organic note</t>
  </si>
  <si>
    <t>community college credit accepted</t>
  </si>
  <si>
    <t>2 semesters (writing intesive- creative writing is okay)</t>
  </si>
  <si>
    <t>2 semester Social/Behavioral Sciences; 1 semester Humanities (non-English)</t>
  </si>
  <si>
    <t>M</t>
  </si>
  <si>
    <t>Yes (2 semesters)</t>
  </si>
  <si>
    <t>labs not required for chem or bio courses</t>
  </si>
  <si>
    <t>no real requirements- just follow recommended courses on MSAR</t>
  </si>
  <si>
    <t>No (Recommended Courses: Humanities, Social Sciences, Molecular Biology, Spanish)</t>
  </si>
  <si>
    <t>Case-by-case, must be on transcript</t>
  </si>
  <si>
    <t>No (Spanish, Humanities highly recommended)</t>
  </si>
  <si>
    <t>2 semesters (including English composition)</t>
  </si>
  <si>
    <t>prefer not classes that overlap with med school curriculum (ie human anatomy)</t>
  </si>
  <si>
    <t>N (1 semester recommended)</t>
  </si>
  <si>
    <t>No (Spanish and Humanities highly recommended, computer skills recommended)</t>
  </si>
  <si>
    <t>all coursework is "recommended", online courses okay</t>
  </si>
  <si>
    <t>1 semester minumum (with lab)</t>
  </si>
  <si>
    <t>2 semesters w lab (including vert zoology)</t>
  </si>
  <si>
    <t>No (humanities, upper level bio recommended)</t>
  </si>
  <si>
    <t>Case-by-case, AP chem &amp; physics will be accepted if on transcript)</t>
  </si>
  <si>
    <t>2 semesters (literature &amp; composition)</t>
  </si>
  <si>
    <t>No (humanties, social science, computer science recommended)</t>
  </si>
  <si>
    <t>case by case, must be on college transcript</t>
  </si>
  <si>
    <t>2 semesters (composition &amp; literature recommended)</t>
  </si>
  <si>
    <t>1 semester w lab (see note)</t>
  </si>
  <si>
    <t>2 semesters additional chemistry required beyond inorganic- at least 1 has to be organic</t>
  </si>
  <si>
    <t>N (genetics, physiology recommended)</t>
  </si>
  <si>
    <t>1 semester (see note)</t>
  </si>
  <si>
    <t>require 2 years chemistry- 2nd year can be two semesters of orgo OR 1 semester orgo + 1 semester biochem; require 4 semesters of courses to be WITH lab</t>
  </si>
  <si>
    <t>No (recommended social science, history, anthro)</t>
  </si>
  <si>
    <t>N (recommended, will be required for 2018-2019 cycle)</t>
  </si>
  <si>
    <t>2 semesters w lab (see note)</t>
  </si>
  <si>
    <t>Biochem can replace 2nd semester of orgo</t>
  </si>
  <si>
    <t>Y (2 semesters)</t>
  </si>
  <si>
    <t>Y (2 semesters "humanities")</t>
  </si>
  <si>
    <t>Y (2 semesters- literature or writing)</t>
  </si>
  <si>
    <t>1 semester biochem can replace 2nd semester of orgo</t>
  </si>
  <si>
    <t>Y (2 semesters- can be math or social science as well)</t>
  </si>
  <si>
    <t>Y (2 semesters college english)</t>
  </si>
  <si>
    <t>N (Genetics, cell bio, immunology, micro, physiology recommended)</t>
  </si>
  <si>
    <t>N (humanities, social science recommended)</t>
  </si>
  <si>
    <t>2 semesters (college english or writing intensive)</t>
  </si>
  <si>
    <t>N (recommend psych, soc, spanish)</t>
  </si>
  <si>
    <t>Y (2 semesters college engligh- writing intensive maybe okay on case-by-case)</t>
  </si>
  <si>
    <t>N (genetics, cell bio, anatomy recommended)</t>
  </si>
  <si>
    <t>N (encourage humanities)</t>
  </si>
  <si>
    <t>N (recommend genetics, micro, immuno, physiology)</t>
  </si>
  <si>
    <t>N (recommend)</t>
  </si>
  <si>
    <t>N (encourage)</t>
  </si>
  <si>
    <t>N (recommend cell/mol bio, genetics, micro, physiology, immuno, neuroscience, dev bio)</t>
  </si>
  <si>
    <t>Y (Behavioral Science - 2 semesters req, recommend comp sci)</t>
  </si>
  <si>
    <t>Yes (AP calc can count for 1 semester math)</t>
  </si>
  <si>
    <t xml:space="preserve">Y </t>
  </si>
  <si>
    <t>2 semesters w lab (NOTE- only need 2 semesters chem TOTAL including 1 semester orgo + biochem, however most will need to take 2 semesters inorganic)</t>
  </si>
  <si>
    <t>Y (2 semesters- 1 English, 1 writing heavy)</t>
  </si>
  <si>
    <t>Y (2 semesters English)</t>
  </si>
  <si>
    <t>Y (6 semesters of Humanities or social science)</t>
  </si>
  <si>
    <t>N (recommend anatomy, cell bio, mol bio, immuno, physiology)</t>
  </si>
  <si>
    <t>N (recommend social science, humanities)</t>
  </si>
  <si>
    <t>Y (1 semester Cell and Molecular Bio)</t>
  </si>
  <si>
    <t>Y (2 semesters- literature &amp; composition)</t>
  </si>
  <si>
    <t>Y (4 semesters Humanities, Social/Behavioral Sciences)</t>
  </si>
  <si>
    <t>require 2 years of chemistry which are to include inorganic, organic, and biochem</t>
  </si>
  <si>
    <t>2 semesters w lab (note- biochem can replace 1 semester of orgo)</t>
  </si>
  <si>
    <t>N (English comp recommended)</t>
  </si>
  <si>
    <t>N (genetics recommended)</t>
  </si>
  <si>
    <t>N (social science &amp; public health recommended)</t>
  </si>
  <si>
    <t>N (advanced course recommended)</t>
  </si>
  <si>
    <t>1 semester w lab (2nd semester recommended)</t>
  </si>
  <si>
    <t>N (Engligh comp recommended)</t>
  </si>
  <si>
    <t>N (psych/soc recommended)</t>
  </si>
  <si>
    <t>No real requirements</t>
  </si>
  <si>
    <t>N (recommend cell, mol)</t>
  </si>
  <si>
    <t>N (recommend 1 semester)</t>
  </si>
  <si>
    <t>2 semesters w lab recommended</t>
  </si>
  <si>
    <t>No (recommend 2 semesters of humanties, langues, social science)</t>
  </si>
  <si>
    <t>N (2 semesters writing intensive recommended)</t>
  </si>
  <si>
    <t>No specific requirements</t>
  </si>
  <si>
    <t>N (recommend 1 semester upper level- biochem, cell, mol, physiology, or genetics</t>
  </si>
  <si>
    <t>Y (2 semesters recommended)</t>
  </si>
  <si>
    <t>N (2 semesters Engligh comp recommended)</t>
  </si>
  <si>
    <t>2 semesters w lab (note- 1 semester biochem can substitute for 1 semester orgo)</t>
  </si>
  <si>
    <t>3 semester social/behavioral science- 2 courses in same field</t>
  </si>
  <si>
    <t>Y (1 semester social science, 1 semester behavioral science)</t>
  </si>
  <si>
    <t>Y (2 semesters Engligh comp or writing intensive)</t>
  </si>
  <si>
    <t>N (recommend genetics)</t>
  </si>
  <si>
    <t>2 semester w lab (or 1 semester orgo with lab + biochem)</t>
  </si>
  <si>
    <t>N (recommend course on social determinants of health)</t>
  </si>
  <si>
    <t>Y (2 semesters English with emphasis on communication skills)</t>
  </si>
  <si>
    <t>N (recommend humanities &amp; psych)</t>
  </si>
  <si>
    <t>2 semesters w lab (1 semester cell, 1 semester organismic)</t>
  </si>
  <si>
    <t>Y (2 semesters writing or literature. 4/5 on AP can count for 1 semester)</t>
  </si>
  <si>
    <t>see note</t>
  </si>
  <si>
    <t>require 2 years of chemistry- 1 semester should be biochem</t>
  </si>
  <si>
    <t>Y (4 semesters humanities- 1 semester can be psych/soc)</t>
  </si>
  <si>
    <t>Y (2 semesters- ie cell, dev bio, genetics, histology, immuno, mol, micro, neuro, physiology)</t>
  </si>
  <si>
    <t>Y (2 semesters of spoken and written english)</t>
  </si>
  <si>
    <t>No requirements- just recommended</t>
  </si>
  <si>
    <t>Expository writing recommended</t>
  </si>
  <si>
    <t>N (behavioral/social science, psych, sociology recommended)</t>
  </si>
  <si>
    <t>Y (2 semesters English composition or literature)</t>
  </si>
  <si>
    <t>Y (2 semesters humanities)</t>
  </si>
  <si>
    <t xml:space="preserve">  </t>
  </si>
  <si>
    <t>okay to take two semesters of gen chem + 1 semester of orgo OR 1 semester gen chem + 2 semesters of orgo (prob more for chem majors)</t>
  </si>
  <si>
    <t>generally prefer not AP</t>
  </si>
  <si>
    <t>Y (2 semesters expository writing)</t>
  </si>
  <si>
    <t>Y (AP can satisfy this)</t>
  </si>
  <si>
    <t>two semesters of organic can include biochem (ie 17/27)</t>
  </si>
  <si>
    <t>1-2 semesters (see note)</t>
  </si>
  <si>
    <t>require 2 years chemistry- at least 1 semester of gen chem and orgo, but other 2 semesters can be gen chem, orgo, or biochem)</t>
  </si>
  <si>
    <t>No, except inorganic chem=1 semester chem</t>
  </si>
  <si>
    <t>N (genetics, cell/mol bio recommended- if not in intro courses)</t>
  </si>
  <si>
    <t>N (1-2 courses psych/soc recommended)</t>
  </si>
  <si>
    <t>Y (2 writing intensive)</t>
  </si>
  <si>
    <t>6-8 semesters Humanities, Social/Behavioral Sciences</t>
  </si>
  <si>
    <t>2 semesters w lab (biochem can sub for 1 semester orgo)</t>
  </si>
  <si>
    <t>Y (2 semesters English, 1 semester writing intensive humanties/social science can replace 1 sem)</t>
  </si>
  <si>
    <t>2 semesters w lab (or 1 semester orgo + 1 semester biochem)</t>
  </si>
  <si>
    <t>N (recommend genetics, anatomy, physiology)</t>
  </si>
  <si>
    <t>N (recommend social science)</t>
  </si>
  <si>
    <t>Y (2 semesters Social Science)</t>
  </si>
  <si>
    <t>2 semesters w at least 1 lab</t>
  </si>
  <si>
    <t>1 semester (okay if AP)</t>
  </si>
  <si>
    <t>Y (1 semester writing, composition, or English)</t>
  </si>
  <si>
    <t>Y (2 semesters social/behavioral science)</t>
  </si>
  <si>
    <t>core competencies</t>
  </si>
  <si>
    <t>No (recommend social science &amp; medical ethics)</t>
  </si>
  <si>
    <t>Y (1 semester Humanities- must be upper level &amp; writing intensive, also recommend ethics, psych, social/behavioral science, foreign language)</t>
  </si>
  <si>
    <t>1 semester w lab (See note)</t>
  </si>
  <si>
    <t>1 semester w lab (or 1 semester of inorganic) (see note)</t>
  </si>
  <si>
    <t>(see note)</t>
  </si>
  <si>
    <t xml:space="preserve">Require additional science: Biology, genetics, zoology, botany, parasitology, biochemistry, chemistry (general or organic, but must be in addition to the general or organic chemistry listed above), physics, etc. At least 2 must be upper-level courses
•4 semesters  
</t>
  </si>
  <si>
    <t>Y (4 semesters Humanities)</t>
  </si>
  <si>
    <t>2 semesters (1 semester biochem can sub for 1 semester orgo)</t>
  </si>
  <si>
    <t>Y (2 semesters English Composition or writing intensive)</t>
  </si>
  <si>
    <t>N (1-2 upper level recommended)</t>
  </si>
  <si>
    <t>Y - Genetics &amp; cell biology</t>
  </si>
  <si>
    <t>Y (2 semesters English or writing intensive)</t>
  </si>
  <si>
    <t>N (see notes)</t>
  </si>
  <si>
    <t>Y (2 upper level BCPM)</t>
  </si>
  <si>
    <t>Y (at least 1 semester of writing intensive in humanities)</t>
  </si>
  <si>
    <t>N (recommend sociology &amp; psych)</t>
  </si>
  <si>
    <t>1 semester (cell/molecular)</t>
  </si>
  <si>
    <t>N (recommend psych, soc, humanities)</t>
  </si>
  <si>
    <t>Y (recommend 2 semesters- at least 1- English or writing intensive)</t>
  </si>
  <si>
    <t>N (recommend humanities &amp; social science)</t>
  </si>
  <si>
    <t>2 semesters (at least 1 with lab)</t>
  </si>
  <si>
    <t>N (recommend genetics, cell/mol, physiology)</t>
  </si>
  <si>
    <t>Y (2 semesters English or literature)</t>
  </si>
  <si>
    <t>1 semester behavioral/Social Science</t>
  </si>
  <si>
    <t>2 semesters w lab (can sub 1 semester biochem for 1 semester orgo)</t>
  </si>
  <si>
    <t>Y (1 semester Psycholog/sociology)</t>
  </si>
  <si>
    <t>Y (or stats)</t>
  </si>
  <si>
    <t>Y (or calc)</t>
  </si>
  <si>
    <t>Y (2 semesters language arts or English)</t>
  </si>
  <si>
    <t>Y - 1 semester human or animal physiology (assumes did prereq inorganic chem and general bio)</t>
  </si>
  <si>
    <t>Y- 1 semester Genetics</t>
  </si>
  <si>
    <t>Y (1 semester English comp)</t>
  </si>
  <si>
    <t>Y (4 semesters humanities)</t>
  </si>
  <si>
    <t>require 2 years of chemistry including at least 1 semester organic and 1 semester biochem)</t>
  </si>
  <si>
    <t>require 2 semesters of chemistry with lab (any chem)</t>
  </si>
  <si>
    <t>Y (1 semester English/comp)</t>
  </si>
  <si>
    <t>No (recommend spanish, ethics, behavioral science, humanities)</t>
  </si>
  <si>
    <t>Y (2 semesters English/writing intensive)</t>
  </si>
  <si>
    <t>Y (Can be replaced by 2nd semester orgo)</t>
  </si>
  <si>
    <t>N (1 semester can be stats)</t>
  </si>
  <si>
    <t xml:space="preserve">2 semesters </t>
  </si>
  <si>
    <t>Y (1 semester Psychology or abnormal psych)</t>
  </si>
  <si>
    <t>Y (2 semesters upper level ie genetics, micro, immuno)</t>
  </si>
  <si>
    <t>No (recommend humanities, social &amp; behavioral science)</t>
  </si>
  <si>
    <t>require 2 years chem with labs- at least one year has to be orgo</t>
  </si>
  <si>
    <t>Y (1 semester English lit or equivalent)</t>
  </si>
  <si>
    <t>require chemistry to the level of orgo OR biochem)</t>
  </si>
  <si>
    <t>N (recommend cell/mol bio, genetics, embryology)</t>
  </si>
  <si>
    <t>No (recommend ethics)</t>
  </si>
  <si>
    <t>2 semesters w lab (1 semester biochem can sub for 1 semester organic)</t>
  </si>
  <si>
    <t>Y (2 semesters- calc and above))</t>
  </si>
  <si>
    <t>Y (2 semesters writing intensive)</t>
  </si>
  <si>
    <t>N (recommend social science, global health, poli sci)</t>
  </si>
  <si>
    <t>1 semester with lab</t>
  </si>
  <si>
    <t>Y (one additional semester upper level chem or bio)</t>
  </si>
  <si>
    <t>Y (2 semesters- 1 English, 1 writing intensive humanities/social science)</t>
  </si>
  <si>
    <t>Y ( 2 semesters English or writing intensive)</t>
  </si>
  <si>
    <t>Y (2 semesters- 1 writing/comp, 1 English elective)</t>
  </si>
  <si>
    <t>Y (1 semester English/writing)</t>
  </si>
  <si>
    <t>Y (1 semester Social Sciences or Humanities)</t>
  </si>
  <si>
    <t>N (recommend genetics, mol bio)</t>
  </si>
  <si>
    <t>No (recommend 4 social science, 2 humanities)</t>
  </si>
  <si>
    <t>recommend cell bio &amp; genetics</t>
  </si>
  <si>
    <t>see website for required courses by track- DIFF REQS if MD/PhD</t>
  </si>
  <si>
    <t xml:space="preserve">N (recommend social/behavioral science) </t>
  </si>
  <si>
    <t>N (recommend micro, mol bio, anatomy/phys)</t>
  </si>
  <si>
    <t>No (recommend humanities, community health, sociology)</t>
  </si>
  <si>
    <t>N (recommend anatomy)</t>
  </si>
  <si>
    <t>N (recommend humanties, ethics, social science)</t>
  </si>
  <si>
    <t>N (2 semesters recommended)</t>
  </si>
  <si>
    <t>No (recommend social, cultural, behavioral science)</t>
  </si>
  <si>
    <t>No (recommend humanities, behaviora/social sciences)</t>
  </si>
  <si>
    <t>Y (2 semesters college English)</t>
  </si>
  <si>
    <t>Y (1 semester genetics, cell bio, or mol bio)</t>
  </si>
  <si>
    <t>2 semesters (English)</t>
  </si>
  <si>
    <t>Y (3 semesters Humanities, psych, social sciences, or philosophy)</t>
  </si>
  <si>
    <t>2 semesters (lab recommended- 1 semester genetics)</t>
  </si>
  <si>
    <t>2 semesters (lab recommended)</t>
  </si>
  <si>
    <t>Y (1 semester that is not stats)</t>
  </si>
  <si>
    <t>Y (3 semesters Humanities and/or Social Sciences)</t>
  </si>
  <si>
    <t>recommend 2 semesters</t>
  </si>
  <si>
    <t>N (recommend 1 year lab experience, coursework in humanities &amp; social sciences)</t>
  </si>
  <si>
    <t>Y ( 1 semester Humanities, 1 semester Behavioral Science)</t>
  </si>
  <si>
    <t>No (recommend behavioral science)</t>
  </si>
  <si>
    <t>No (recommend humanities &amp; behavioral/social science, research)</t>
  </si>
  <si>
    <t>2 semesters w lab (biochem can sub 1 semester)</t>
  </si>
  <si>
    <t>Y ( 2 semesters Humanities)</t>
  </si>
  <si>
    <t>Y (1 semester English/English comp)</t>
  </si>
  <si>
    <t>Y (1 semester Spanish, 2 semesters behavioral/social science)</t>
  </si>
  <si>
    <t>Y (2 semesters English/expository writing)</t>
  </si>
  <si>
    <t>4 semesters Humanities or Social/Behavioral Sciences</t>
  </si>
  <si>
    <t>N (recommeded)</t>
  </si>
  <si>
    <t>N (recommend genetics, physiology)</t>
  </si>
  <si>
    <t>Y (2 semesters spanish, 4 semesters Behavioral/Social Science)</t>
  </si>
  <si>
    <t>Y (4 semesters)</t>
  </si>
  <si>
    <t>Y (4 semesters Behavioral/Social Science, 4 semesters Spanish)</t>
  </si>
  <si>
    <t>2 semesters (recommend lab)</t>
  </si>
  <si>
    <t>Y (2 semesters Social/Behavioral Sciences)</t>
  </si>
  <si>
    <t>N (recommend anatomy, physiology, cell bio, genetics, embryology)</t>
  </si>
  <si>
    <t>Y (2 semesters Engligh comp/lit)</t>
  </si>
  <si>
    <t>N (recommend histology)</t>
  </si>
  <si>
    <t>N (recommend cell bio)</t>
  </si>
  <si>
    <t>Y (1 semesters Engligh comp/lit)</t>
  </si>
  <si>
    <t>Y (2 additional semesters humanities/social science, recommend spanish)</t>
  </si>
  <si>
    <t>N (recommend cell bio, genetics)</t>
  </si>
  <si>
    <t>No (recommend 2nd semester orgo, psych, soc)</t>
  </si>
  <si>
    <t>N (recommend genetics, micro, physiology)</t>
  </si>
  <si>
    <t>Y (2 semesters English comp)</t>
  </si>
  <si>
    <t>No (recommend psych, soc)</t>
  </si>
  <si>
    <t>Y (2 semesters English/lit)</t>
  </si>
  <si>
    <t>2 semesters (lab not req)</t>
  </si>
  <si>
    <t>Y (1 semester expository writing)</t>
  </si>
  <si>
    <t>Y (4 semesters behavioral sciences, humanities, psych, social sciences)</t>
  </si>
  <si>
    <t>No (recommend 4 semesters humanities or behavioral/social science)</t>
  </si>
  <si>
    <t>Y (2 semesters English- must be Eng dept)</t>
  </si>
  <si>
    <t>Y (recommeded, stats must be math dept- or calc))</t>
  </si>
  <si>
    <t>Y (2 semesters- recommend genetics, mol/cell, anatomy/phys, micro, immuno, dev bio)</t>
  </si>
  <si>
    <t>Y (2 semesters English or gen ed English)</t>
  </si>
  <si>
    <t>University of Texas at Austin Dell Medical School, Austin</t>
  </si>
  <si>
    <t>University of Texas Rio Grande Valley School of Medicine, Harlingen</t>
  </si>
  <si>
    <t>2 semesters with lab</t>
  </si>
  <si>
    <t xml:space="preserve">Y (1 semester) </t>
  </si>
  <si>
    <t>core competencies (but seem specific for how to gain these), for chemistry recommend 1 semester of inorganic w lab + 2 semesters organic w lab OR 2 semester inorganic + 1 semester of organic)</t>
  </si>
  <si>
    <t>2 semesters with lab (see note)</t>
  </si>
  <si>
    <t>for bio- one course must be cell bio OR biochem- so might need to take more than 2 semesters</t>
  </si>
  <si>
    <t>Y (1 semester writing intensive)</t>
  </si>
  <si>
    <t>Y (1 semester Humanities, 1 semester Social Science)</t>
  </si>
  <si>
    <t>Y (2 calc or 1 semester calc + 1 semester stats)</t>
  </si>
  <si>
    <t>Y (2 semesters English/writing)</t>
  </si>
  <si>
    <t>no pre-reqs</t>
  </si>
  <si>
    <t>No (recommend human behavior)</t>
  </si>
  <si>
    <t>Y (2 semesters math or stats)</t>
  </si>
  <si>
    <t>2 semesters with lab (biochem can sub for 1 semester of orgo)</t>
  </si>
  <si>
    <t>2 semesters with lab (or 1 semester physics + 1 semester calc)</t>
  </si>
  <si>
    <t>N (recommend anatomy, physiology)</t>
  </si>
  <si>
    <t>Y (4 semesters Social Sciences/Humanities), recommend ethics</t>
  </si>
  <si>
    <t>Y (1 semester advanced bio w lab)</t>
  </si>
  <si>
    <t>Y (1 semester Psychology or social sciences)</t>
  </si>
  <si>
    <t>2 semesters (1 w lab)</t>
  </si>
  <si>
    <t>Y (1 semester writing inteisve- upper level)</t>
  </si>
  <si>
    <t>Y (2 semesters Social or Behavioral Sciences)</t>
  </si>
  <si>
    <t>N (recommend cell/mol bio)</t>
  </si>
  <si>
    <t>Y (2 semesters English- 1 semester can be writing intesive)</t>
  </si>
  <si>
    <t>Y (3 semesters behavior/social sci)</t>
  </si>
  <si>
    <t>N (recommend cell bio, phys)</t>
  </si>
  <si>
    <t>Yes- 2 semesters</t>
  </si>
  <si>
    <t>Yes- 2 semesters literature or writing</t>
  </si>
  <si>
    <t>Yes- 2 semesters English</t>
  </si>
  <si>
    <t>Yes- 2 semesters Social/Behavioral Sciences</t>
  </si>
  <si>
    <t>Yes- 3 semesters behavioral/social science</t>
  </si>
  <si>
    <t xml:space="preserve">Yes- 2 semesters </t>
  </si>
  <si>
    <t>Yes- 1 semester of writing intensive in humanities</t>
  </si>
  <si>
    <t>Yes- 1 semester English or writing intensive</t>
  </si>
  <si>
    <t>Yes- 2 semesters language arts or English</t>
  </si>
  <si>
    <t>Yes- stats</t>
  </si>
  <si>
    <t>Yes- 1 semester English composition</t>
  </si>
  <si>
    <t>Yes- 1 semester English/composition</t>
  </si>
  <si>
    <t>Yes- 2 semesters English/writing intensive</t>
  </si>
  <si>
    <t>Yes- 2 semesters writing intensive</t>
  </si>
  <si>
    <t>Yes- 2 semesters Engligh composition/literature</t>
  </si>
  <si>
    <t>Yes- 2 semesters English composition</t>
  </si>
  <si>
    <t>Yes- 1 semester advanced biology</t>
  </si>
  <si>
    <t>Yes- 1 semester expository writing</t>
  </si>
  <si>
    <t>Yes- 2 semesters additional biology</t>
  </si>
  <si>
    <t>Yes- 1 semester additional biology</t>
  </si>
  <si>
    <t>Yes- 4 semesters Social Sciences or Humanities</t>
  </si>
  <si>
    <t>no info available</t>
  </si>
  <si>
    <t>Yes- 4 semesters English</t>
  </si>
  <si>
    <t>Yes- 2 semesters English or writing intensive</t>
  </si>
  <si>
    <t>Yes- 2 semesters expository writing</t>
  </si>
  <si>
    <t>Yes- see biochem note</t>
  </si>
  <si>
    <t>Yes- 2 semesters English, writing composition, literature, or writing intensive</t>
  </si>
  <si>
    <t>Yes- 2 semesters English composition or literature</t>
  </si>
  <si>
    <t>Yes- 1 semester</t>
  </si>
  <si>
    <t>Yes- 1 semester upper level biology</t>
  </si>
  <si>
    <t>Yes- including vertebrate zoology</t>
  </si>
  <si>
    <t>No- see note</t>
  </si>
  <si>
    <t>Yes- 1 semester w lab</t>
  </si>
  <si>
    <t>No (will be required for 2018-2019 cycle)</t>
  </si>
  <si>
    <t>Yes- see note</t>
  </si>
  <si>
    <t>Yes- 2 semesters humanities</t>
  </si>
  <si>
    <t>Yes- 2 additional semesters math, natural science, or social science</t>
  </si>
  <si>
    <t xml:space="preserve">Yes-  stats </t>
  </si>
  <si>
    <t>Yes- 1 semester cell and molecular biology</t>
  </si>
  <si>
    <t xml:space="preserve">Yes- 1 semester w lab </t>
  </si>
  <si>
    <t>Yes- 2 semesters English composition or writing intensive</t>
  </si>
  <si>
    <t>Yes- 2 semesters English with emphasis on communication skills</t>
  </si>
  <si>
    <t>Yes- 2 semesters OR 1 semester of calculus</t>
  </si>
  <si>
    <t>Yes- 2 semesters writing or literature</t>
  </si>
  <si>
    <t>Yes- 1 semester (see note)</t>
  </si>
  <si>
    <t>Yes- 2 writing intensive humanities, social science, language, or psychology</t>
  </si>
  <si>
    <t>Yes- 1 semester w lab (or orgo)</t>
  </si>
  <si>
    <t xml:space="preserve">Yes- 1 semester w lab (or inorganic) </t>
  </si>
  <si>
    <t>Yes- 2 semesters English or literature</t>
  </si>
  <si>
    <t>Yes- 2 semesters (1 writing/composition, 1 English elective)</t>
  </si>
  <si>
    <t>Yes- 1 semester English/writing</t>
  </si>
  <si>
    <t>Yes- 2 semesters writing intensive (1 English, 1 humanities/social science)</t>
  </si>
  <si>
    <t>Yes- 2 semesters college English</t>
  </si>
  <si>
    <t>Yes- 2 semesters English/literature</t>
  </si>
  <si>
    <t>Yes- 2 semesters English- must be Eng dept</t>
  </si>
  <si>
    <t>Yes- 2 semesters English or gen ed English</t>
  </si>
  <si>
    <t>Yes- 2 semesters English/writing (1 semester philosophy can sub for 1 semester English)</t>
  </si>
  <si>
    <t>Yes (or 1 semester physics + 1 semester calc or linear algebra)</t>
  </si>
  <si>
    <t>Yes- 1 semester English/writing intensive</t>
  </si>
  <si>
    <t>Yes- 1 semester upper level writing intensive humanities or social science</t>
  </si>
  <si>
    <t>Yes- 1 semester English</t>
  </si>
  <si>
    <t>Yes-2  semesters humanities or social/behavioral science</t>
  </si>
  <si>
    <t>Yes- 1 semester writing intensive, composition, or English</t>
  </si>
  <si>
    <t>Yes- lab required for 1 semester</t>
  </si>
  <si>
    <t xml:space="preserve">Yes- lab required for 1 semester </t>
  </si>
  <si>
    <t>Inorganic Chemistry (Yes=2 semester with lab)</t>
  </si>
  <si>
    <t>Organic (Yes=2 semesters with lab)</t>
  </si>
  <si>
    <t>Biology (Yes=2 semesters with lab)</t>
  </si>
  <si>
    <t>Physics (Yes=2 semesters with lab)</t>
  </si>
  <si>
    <t>Biochemistry (Yes=1 semester without lab)</t>
  </si>
  <si>
    <t>College Math (Yes=1 semester)</t>
  </si>
  <si>
    <t xml:space="preserve">Additional Course Requirements </t>
  </si>
  <si>
    <t>Prefer that classes not overlap with med school curriculum (ie human anatomy)</t>
  </si>
  <si>
    <t>No course requirements-  see website</t>
  </si>
  <si>
    <t>No course requirements-  see website (core competencies)</t>
  </si>
  <si>
    <t>Yes- 2 semesters English (1 can be writing intensive course that is not English)</t>
  </si>
  <si>
    <t>No course requirements- see website</t>
  </si>
  <si>
    <t>No course requirements- see website (core competencies)</t>
  </si>
  <si>
    <t>No course requirements- see webiste</t>
  </si>
  <si>
    <t>Expectations for core competencies in addition to basic requirements- see website</t>
  </si>
  <si>
    <t>No (see note)</t>
  </si>
  <si>
    <t>No math requirement as long as you place into at least Math 1a; requirements will change for 2018 cycle</t>
  </si>
  <si>
    <t>Traditional requirements are listed, for alternative requirements see site</t>
  </si>
  <si>
    <t>Yes- 2 semesters upper level science or math</t>
  </si>
  <si>
    <t>See website</t>
  </si>
  <si>
    <t>Core competency expectations- see website</t>
  </si>
  <si>
    <t>Yes- 1 semester behavioral or social science</t>
  </si>
  <si>
    <t xml:space="preserve">Yes- 1 semester advanced human or animal physiology </t>
  </si>
  <si>
    <t>See note</t>
  </si>
  <si>
    <t>Yes- 2 semesters English or  writing intensive</t>
  </si>
  <si>
    <t xml:space="preserve">Yes- 1 semester English literature </t>
  </si>
  <si>
    <t>Require chemistry to the level of orgo OR biochem</t>
  </si>
  <si>
    <t>No course requirements- see note</t>
  </si>
  <si>
    <t>See website for required courses for MD/PhD</t>
  </si>
  <si>
    <t>Recommend 1 semester of inorganic w lab + 2 semesters organic w lab OR 2 semesters inorganic + 1 semester of organic; see website (core competencies)</t>
  </si>
  <si>
    <t>Lab required for 6 semesters of science (inorganic, organic, bio, or physics)</t>
  </si>
  <si>
    <t>These course requirements are subject to change. All course requirements are taken from individual school websites, accessed October 2016. While we have attempted to make this document error-free, it is your responsibility to confirm course requirements for schools to which you plan to apply.</t>
  </si>
  <si>
    <t xml:space="preserve">Yes- statistics </t>
  </si>
  <si>
    <t>Yes- lab not required</t>
  </si>
  <si>
    <t>Yes- lab recommended</t>
  </si>
  <si>
    <t>Yes- 1 semester; lab not required</t>
  </si>
  <si>
    <t>No- require biochemistry OR 2 semesters organic with lab</t>
  </si>
  <si>
    <t>No- 1 semester of biochemistry can replace 1 semester of organic with lab</t>
  </si>
  <si>
    <t>Yes- 2 semesters social sciences; 1 semester genetics</t>
  </si>
  <si>
    <t>Yes- 2 semesters behavioral sciences; 1 semester humanities; 1 semester physiology</t>
  </si>
  <si>
    <t>Yes- 1 calculus and 1 statistics</t>
  </si>
  <si>
    <t>Yes- 2 semesters English or English composition</t>
  </si>
  <si>
    <t>Yes- 2 semesters English or English composition)</t>
  </si>
  <si>
    <t>Yes- 2 semesters English literature or English composition</t>
  </si>
  <si>
    <t>4 semesters of chemistry required- 1 semester must be organic, remaining 3 can be other chemistry</t>
  </si>
  <si>
    <t>Yes- 1 semester w lab; see note</t>
  </si>
  <si>
    <t>Yes- biochemistry can substitute for 1 semester organic</t>
  </si>
  <si>
    <t>Yes- 2 semesters behavioral science</t>
  </si>
  <si>
    <t>Yes- 6 semesters humanities or social/behavioral science</t>
  </si>
  <si>
    <t>Yes- 2 semesters English, literature, composition, or writing</t>
  </si>
  <si>
    <t>Yes- 2 semesters English or composition</t>
  </si>
  <si>
    <t>Yes- 2 semesters literature and composition</t>
  </si>
  <si>
    <t>Yes- 4 semesters humanities or social/behavioral sciences; 1 semester advanced biology (biochemistry can satisfy this requirement)</t>
  </si>
  <si>
    <t>Require 2 years of chemistry which are to include inorganic, organic, and biochemistry</t>
  </si>
  <si>
    <t>Yes- biochemistry can replace 1 semester of organic</t>
  </si>
  <si>
    <t>Yes- 1 semester biochemistry can substitute for 1 semester organic</t>
  </si>
  <si>
    <t>Yes- 1 semester upper level biology; 3 semesters social/behavioral science (2 courses must be in same field)</t>
  </si>
  <si>
    <t>Yes- 1 semester social science; 1 semester behavioral science</t>
  </si>
  <si>
    <t>Yes- 1 semester cell biology; 1 semester organismic</t>
  </si>
  <si>
    <t>Yes- 4 semesters humanities (1 semester can be psychology or sociology); 2 semesters additional biology</t>
  </si>
  <si>
    <t>Require 2 years of chemistry- 1 semester must be biochemistry</t>
  </si>
  <si>
    <t>May take two semesters general chemistry + 1 semester organic OR 1 semester general chemistry + 2 semesters organic (recommended to take 2 semesters of both)</t>
  </si>
  <si>
    <t>Yes- 1 semester statistics and 1 semester calculus</t>
  </si>
  <si>
    <t>Two semesters of organic can include biochemistry</t>
  </si>
  <si>
    <t>Require 2 years chemistry- at least 1 semester general chemistry and organic, but other 2 semesters can be general chemistry, organic,  or biochemistry), have competencies in addition to requirements</t>
  </si>
  <si>
    <t>Yes- 2 semesters calculus or statistics</t>
  </si>
  <si>
    <t>Yes- 4 semesters humanities or social/behavioral sciences</t>
  </si>
  <si>
    <t>Yes- biochemistry can sub for 1 semester organic</t>
  </si>
  <si>
    <t>Yes- calculus or statistics</t>
  </si>
  <si>
    <t>Yes- 2 semesters English (1 semester writing intensive humanties or social science can replace 1 semester English)</t>
  </si>
  <si>
    <t>Yes- 2 semesters social science or humanities; 2 semesters upper level biology</t>
  </si>
  <si>
    <t>Yes- 1 semester upper level, writing intensive humanities or social science; 4 additional semesters science courses (2 must be upper level)</t>
  </si>
  <si>
    <t>Yes- 4 semesters humanities or behavioral science</t>
  </si>
  <si>
    <t>Yes- 1 semester genetics; 1 semester cell biology</t>
  </si>
  <si>
    <t>Yes- 2 semesters calculus or 1 semester statistics and 1 semester calculus</t>
  </si>
  <si>
    <t>Yes- 2 semesters college math or 1 semester calculus</t>
  </si>
  <si>
    <t>Yes- 1 semester cell/molecular biology or genetics</t>
  </si>
  <si>
    <t>Yes- at least 1 semester with lab</t>
  </si>
  <si>
    <t>Yes- 1 semester psychology or sociology</t>
  </si>
  <si>
    <t>Yes- 4 semesters humanities or social science; 1 semester genetics</t>
  </si>
  <si>
    <t xml:space="preserve">Yes- lab not required  </t>
  </si>
  <si>
    <t>Require 2 years of chemistry including at least 1 semester organic and 1 semester biochemistry</t>
  </si>
  <si>
    <t>Require 2 semesters of chemistry with lab (any chemistry)</t>
  </si>
  <si>
    <t xml:space="preserve">Yes- 1 semester psychology or abnormal psychology; 2 semesters upper level biology </t>
  </si>
  <si>
    <t>Require 2 years chemistry with labs- at least one year has to be organic</t>
  </si>
  <si>
    <t>Yes- 2 semesters (calculus or higher)</t>
  </si>
  <si>
    <t>Yes- including cell biology or genetics</t>
  </si>
  <si>
    <t>Yes- statistics</t>
  </si>
  <si>
    <t>Yes- 1 semester social sciences or humanities</t>
  </si>
  <si>
    <t>Require 4 semesters chemistry including inorganic, organic, and biochemistry</t>
  </si>
  <si>
    <t>Yes- 2 semesters English or expository writing</t>
  </si>
  <si>
    <t>Yes- 1 semester upper level chemistry or biology (2nd semester organic will count)</t>
  </si>
  <si>
    <t xml:space="preserve">Yes- lab not required </t>
  </si>
  <si>
    <t>Yes- 3 semesters humanities, psychology, social sciences, or philosophy; 1 semester genetics, cell biology, or molecular biology</t>
  </si>
  <si>
    <t>Yes- 3 semesters humanities or social science</t>
  </si>
  <si>
    <t>Yes- lab recommened</t>
  </si>
  <si>
    <t>Yes- not statistics</t>
  </si>
  <si>
    <t>Yes- 1 semester humanities; 1 semester behavioral science</t>
  </si>
  <si>
    <t>Yes- biochemistry can substitute for 1 semester inorganic</t>
  </si>
  <si>
    <t>Yes- 1 semester English or English composition</t>
  </si>
  <si>
    <t>Yes- 1 semester Spanish; 2 semesters behavioral/social science</t>
  </si>
  <si>
    <t>Yes- 2 semesters Spanish; 4 semesters behavioral/social sciences</t>
  </si>
  <si>
    <t>Yes- calculus</t>
  </si>
  <si>
    <t>Yes- 4 semesters behavioral/social science; 4 semesters Spanish</t>
  </si>
  <si>
    <t>Yes- 2 semesters social/behavioral sciences</t>
  </si>
  <si>
    <t>Yes- 1 semesters English composition or literature</t>
  </si>
  <si>
    <t>Yes- 2 semesters; require 1 semester statistics</t>
  </si>
  <si>
    <t>Yes- 4 semesters humanities or social/behavioral sciences; 1 semester advanced biology</t>
  </si>
  <si>
    <t>Yes- 2 semesters English or general education English</t>
  </si>
  <si>
    <t>Yes- lab not required; 1 semester must be cell biology or biochemistry</t>
  </si>
  <si>
    <t>Yes- 1 semester humanities; 1 semester social science</t>
  </si>
  <si>
    <t>Yes- biochemistry can substitute for 1 semester organic; see note for lab</t>
  </si>
  <si>
    <t>Yes- see note for lab</t>
  </si>
  <si>
    <t>Yes- 2 semesters English OR 1 semester English and 1 semester writing intesive non-English</t>
  </si>
  <si>
    <t>Yes- 1 semester psychology or sociology; 1 semester advanced biology with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</si>
</sst>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8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  <font>
      <b/>
      <u/>
      <sz val="11"/>
      <color rgb="FF3C51EC"/>
      <name val="Calibri"/>
    </font>
    <font>
      <sz val="11"/>
      <color rgb="FF000000"/>
      <name val="Times New Roman"/>
    </font>
    <font>
      <u/>
      <sz val="11"/>
      <color theme="1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 applyFont="1" applyAlignment="1"/>
    <xf numFmtId="0" fontId="1" fillId="2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/>
    <xf numFmtId="0" fontId="2" fillId="0" borderId="0" xfId="0" applyFont="1"/>
    <xf numFmtId="49" fontId="0" fillId="0" borderId="0" xfId="0" applyNumberFormat="1" applyFont="1" applyAlignment="1"/>
    <xf numFmtId="14" fontId="0" fillId="0" borderId="0" xfId="0" applyNumberFormat="1" applyFont="1" applyAlignment="1">
      <alignment horizontal="right"/>
    </xf>
    <xf numFmtId="6" fontId="0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0" applyFont="1"/>
    <xf numFmtId="0" fontId="4" fillId="0" borderId="0" xfId="0" applyFont="1"/>
    <xf numFmtId="0" fontId="0" fillId="0" borderId="0" xfId="0" applyFont="1"/>
    <xf numFmtId="164" fontId="0" fillId="0" borderId="0" xfId="0" applyNumberFormat="1" applyFont="1" applyAlignment="1">
      <alignment horizontal="right"/>
    </xf>
    <xf numFmtId="0" fontId="0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/>
    <xf numFmtId="0" fontId="7" fillId="0" borderId="0" xfId="0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 applyFont="1" applyAlignment="1">
      <alignment wrapText="1"/>
    </xf>
    <xf numFmtId="0" fontId="5" fillId="0" borderId="0" xfId="1"/>
    <xf numFmtId="0" fontId="5" fillId="0" borderId="0" xfId="1" applyFill="1" applyAlignment="1">
      <alignment wrapText="1"/>
    </xf>
    <xf numFmtId="0" fontId="6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Font="1" applyFill="1" applyAlignment="1"/>
    <xf numFmtId="49" fontId="6" fillId="0" borderId="0" xfId="0" applyNumberFormat="1" applyFont="1" applyFill="1" applyAlignment="1">
      <alignment wrapText="1"/>
    </xf>
    <xf numFmtId="49" fontId="0" fillId="0" borderId="0" xfId="0" applyNumberFormat="1" applyFont="1" applyFill="1" applyAlignment="1">
      <alignment wrapText="1"/>
    </xf>
    <xf numFmtId="0" fontId="2" fillId="3" borderId="0" xfId="0" applyFont="1" applyFill="1" applyAlignment="1">
      <alignment wrapText="1"/>
    </xf>
    <xf numFmtId="0" fontId="0" fillId="3" borderId="0" xfId="0" applyFont="1" applyFill="1" applyAlignment="1"/>
    <xf numFmtId="49" fontId="6" fillId="3" borderId="0" xfId="0" applyNumberFormat="1" applyFont="1" applyFill="1" applyAlignment="1">
      <alignment wrapText="1"/>
    </xf>
    <xf numFmtId="0" fontId="6" fillId="3" borderId="0" xfId="0" applyFont="1" applyFill="1" applyAlignment="1">
      <alignment wrapText="1"/>
    </xf>
    <xf numFmtId="49" fontId="0" fillId="3" borderId="0" xfId="0" applyNumberFormat="1" applyFont="1" applyFill="1" applyAlignment="1">
      <alignment wrapText="1"/>
    </xf>
    <xf numFmtId="0" fontId="0" fillId="3" borderId="0" xfId="0" applyFont="1" applyFill="1" applyAlignment="1">
      <alignment wrapText="1"/>
    </xf>
    <xf numFmtId="0" fontId="5" fillId="3" borderId="0" xfId="1" applyFill="1" applyAlignment="1">
      <alignment wrapText="1"/>
    </xf>
    <xf numFmtId="0" fontId="4" fillId="3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oakland.edu/medicine/admissions/requirements" TargetMode="External"/><Relationship Id="rId21" Type="http://schemas.openxmlformats.org/officeDocument/2006/relationships/hyperlink" Target="http://medschool.ucla.edu/apply-prerequisites" TargetMode="External"/><Relationship Id="rId42" Type="http://schemas.openxmlformats.org/officeDocument/2006/relationships/hyperlink" Target="http://healthsciences.howard.edu/education/schools-and-academics/medicine/admissions/requirements%20and%20procedures" TargetMode="External"/><Relationship Id="rId63" Type="http://schemas.openxmlformats.org/officeDocument/2006/relationships/hyperlink" Target="http://www.msm.edu/Admissions/mdadmissionsrequirements.php" TargetMode="External"/><Relationship Id="rId84" Type="http://schemas.openxmlformats.org/officeDocument/2006/relationships/hyperlink" Target="http://admissions.medicine.iu.edu/applying-to-the-iu-school-of-medicine/" TargetMode="External"/><Relationship Id="rId138" Type="http://schemas.openxmlformats.org/officeDocument/2006/relationships/hyperlink" Target="http://dukemed.duke.edu/modules/ooa_applicant/index.php?id=21" TargetMode="External"/><Relationship Id="rId159" Type="http://schemas.openxmlformats.org/officeDocument/2006/relationships/hyperlink" Target="http://rwjms.rutgers.edu/education/admissions/selection_process.html" TargetMode="External"/><Relationship Id="rId170" Type="http://schemas.openxmlformats.org/officeDocument/2006/relationships/hyperlink" Target="http://medicine.hofstra.edu/admission/md/mdadmissions_application_req.html" TargetMode="External"/><Relationship Id="rId191" Type="http://schemas.openxmlformats.org/officeDocument/2006/relationships/hyperlink" Target="http://casemed.case.edu/admissions/process/requirements.cfm" TargetMode="External"/><Relationship Id="rId205" Type="http://schemas.openxmlformats.org/officeDocument/2006/relationships/hyperlink" Target="http://www.ohsu.edu/xd/education/schools/school-of-medicine/academic-programs/md-program/admissions/requirements.cfm" TargetMode="External"/><Relationship Id="rId226" Type="http://schemas.openxmlformats.org/officeDocument/2006/relationships/hyperlink" Target="http://md.rcm.upr.edu/md-program/" TargetMode="External"/><Relationship Id="rId247" Type="http://schemas.openxmlformats.org/officeDocument/2006/relationships/hyperlink" Target="https://www.bcm.edu/admissions/admissionsrequirements" TargetMode="External"/><Relationship Id="rId107" Type="http://schemas.openxmlformats.org/officeDocument/2006/relationships/hyperlink" Target="http://www.hopkinsmedicine.org/som/admissions/md/application_process/prerequisites_requirements.html" TargetMode="External"/><Relationship Id="rId268" Type="http://schemas.openxmlformats.org/officeDocument/2006/relationships/hyperlink" Target="http://www.medschool.vcu.edu/admissions/md/prerequisites/" TargetMode="External"/><Relationship Id="rId11" Type="http://schemas.openxmlformats.org/officeDocument/2006/relationships/hyperlink" Target="http://keck.usc.edu/education/md-program/admissions/" TargetMode="External"/><Relationship Id="rId32" Type="http://schemas.openxmlformats.org/officeDocument/2006/relationships/hyperlink" Target="http://www.quinnipiac.edu/academics/colleges-schools-and-departments/school-of-medicine/admissions/academic-requirements/" TargetMode="External"/><Relationship Id="rId53" Type="http://schemas.openxmlformats.org/officeDocument/2006/relationships/hyperlink" Target="http://admissions.med.miami.edu/md-programs/general-md/prerequisites" TargetMode="External"/><Relationship Id="rId74" Type="http://schemas.openxmlformats.org/officeDocument/2006/relationships/hyperlink" Target="http://www.rosalindfranklin.edu/Degreeprograms/AllopathicMedicine/appNeeds.aspx" TargetMode="External"/><Relationship Id="rId128" Type="http://schemas.openxmlformats.org/officeDocument/2006/relationships/hyperlink" Target="http://www.slu.edu/medicine/admissions/how-to-apply" TargetMode="External"/><Relationship Id="rId149" Type="http://schemas.openxmlformats.org/officeDocument/2006/relationships/hyperlink" Target="http://medschool.creighton.edu/medicine/oma/app/req/index.php" TargetMode="External"/><Relationship Id="rId5" Type="http://schemas.openxmlformats.org/officeDocument/2006/relationships/hyperlink" Target="http://medicine.uams.edu/for-medical-students/catalog/" TargetMode="External"/><Relationship Id="rId95" Type="http://schemas.openxmlformats.org/officeDocument/2006/relationships/hyperlink" Target="http://tulane.edu/som/admissions/apply/selection-factors.cfm" TargetMode="External"/><Relationship Id="rId160" Type="http://schemas.openxmlformats.org/officeDocument/2006/relationships/hyperlink" Target="http://som.unm.edu/education/md/admissions/prerequisites.html" TargetMode="External"/><Relationship Id="rId181" Type="http://schemas.openxmlformats.org/officeDocument/2006/relationships/hyperlink" Target="http://www.upstate.edu/com/admissions/faqs.php" TargetMode="External"/><Relationship Id="rId216" Type="http://schemas.openxmlformats.org/officeDocument/2006/relationships/hyperlink" Target="https://tcmc.edu/admissions/md-admissions/md-admissions-requirements/" TargetMode="External"/><Relationship Id="rId237" Type="http://schemas.openxmlformats.org/officeDocument/2006/relationships/hyperlink" Target="http://www.usd.edu/medical-school/medical-doctor-program/application-requirements.cfm" TargetMode="External"/><Relationship Id="rId258" Type="http://schemas.openxmlformats.org/officeDocument/2006/relationships/hyperlink" Target="http://som.uthscsa.edu/Admissions/prerequisites.asp" TargetMode="External"/><Relationship Id="rId279" Type="http://schemas.openxmlformats.org/officeDocument/2006/relationships/hyperlink" Target="http://www.med.wisc.edu/education/md/admissions/premedical-requirements/110" TargetMode="External"/><Relationship Id="rId22" Type="http://schemas.openxmlformats.org/officeDocument/2006/relationships/hyperlink" Target="http://www.medstudent.ucla.edu/offices/admiss/admreq.cfm" TargetMode="External"/><Relationship Id="rId43" Type="http://schemas.openxmlformats.org/officeDocument/2006/relationships/hyperlink" Target="http://med.fau.edu/admissions/md/reqpro.php" TargetMode="External"/><Relationship Id="rId64" Type="http://schemas.openxmlformats.org/officeDocument/2006/relationships/hyperlink" Target="http://www.msm.edu/prospective_students/MDadmissions/entrancerequirements.aspx" TargetMode="External"/><Relationship Id="rId118" Type="http://schemas.openxmlformats.org/officeDocument/2006/relationships/hyperlink" Target="http://med.umich.edu/medschool/admissions/apply/requirements.html" TargetMode="External"/><Relationship Id="rId139" Type="http://schemas.openxmlformats.org/officeDocument/2006/relationships/hyperlink" Target="http://dukemed.duke.edu/modules/ooa_applicant/index.php?id=21" TargetMode="External"/><Relationship Id="rId85" Type="http://schemas.openxmlformats.org/officeDocument/2006/relationships/hyperlink" Target="http://www.kumc.edu/school-of-medicine/education/admissions/premedical-requirements.html" TargetMode="External"/><Relationship Id="rId150" Type="http://schemas.openxmlformats.org/officeDocument/2006/relationships/hyperlink" Target="http://www.unmc.edu/com/prospective/admissions/entrance-requirements.html" TargetMode="External"/><Relationship Id="rId171" Type="http://schemas.openxmlformats.org/officeDocument/2006/relationships/hyperlink" Target="http://medicine.hofstra.edu/admission/md/mdadmissions_application_req.html" TargetMode="External"/><Relationship Id="rId192" Type="http://schemas.openxmlformats.org/officeDocument/2006/relationships/hyperlink" Target="http://www.neomed.edu/admissions/medicine/direct/pre-requisites-and-requirements" TargetMode="External"/><Relationship Id="rId206" Type="http://schemas.openxmlformats.org/officeDocument/2006/relationships/hyperlink" Target="https://www.drexelmed.edu/Home/Admissions/MDProgram/AdmissionsRequirements.aspx" TargetMode="External"/><Relationship Id="rId227" Type="http://schemas.openxmlformats.org/officeDocument/2006/relationships/hyperlink" Target="http://md.rcm.upr.edu/md-program/" TargetMode="External"/><Relationship Id="rId248" Type="http://schemas.openxmlformats.org/officeDocument/2006/relationships/hyperlink" Target="https://medicine.tamhsc.edu/admissions/apply/index.html" TargetMode="External"/><Relationship Id="rId269" Type="http://schemas.openxmlformats.org/officeDocument/2006/relationships/hyperlink" Target="http://www.medschool.vcu.edu/admissions/md/prerequisites.html" TargetMode="External"/><Relationship Id="rId12" Type="http://schemas.openxmlformats.org/officeDocument/2006/relationships/hyperlink" Target="http://keck.usc.edu/About/Administrative_Offices/Office_of_MD_Admissions/Admissions_Process.aspx" TargetMode="External"/><Relationship Id="rId33" Type="http://schemas.openxmlformats.org/officeDocument/2006/relationships/hyperlink" Target="http://medicine.uconn.edu/admissions/applying-to-the-md-or-md-mba-programs/" TargetMode="External"/><Relationship Id="rId108" Type="http://schemas.openxmlformats.org/officeDocument/2006/relationships/hyperlink" Target="http://www.usuhs.edu/medschool/pdf/WhatYouNeedtoKnow.pdf" TargetMode="External"/><Relationship Id="rId129" Type="http://schemas.openxmlformats.org/officeDocument/2006/relationships/hyperlink" Target="http://www.slu.edu/medicine/admissions/how-to-apply" TargetMode="External"/><Relationship Id="rId280" Type="http://schemas.openxmlformats.org/officeDocument/2006/relationships/hyperlink" Target="https://jcesom.marshall.edu/admissions/" TargetMode="External"/><Relationship Id="rId54" Type="http://schemas.openxmlformats.org/officeDocument/2006/relationships/hyperlink" Target="http://admissions.med.miami.edu/md-programs/general-md/prerequisites" TargetMode="External"/><Relationship Id="rId75" Type="http://schemas.openxmlformats.org/officeDocument/2006/relationships/hyperlink" Target="https://www.rushu.rush.edu/rush-medical-college/doctor-medicine-md-program/admission-requirements" TargetMode="External"/><Relationship Id="rId96" Type="http://schemas.openxmlformats.org/officeDocument/2006/relationships/hyperlink" Target="http://tulane.edu/som/admissions/apply/selection-factors.cfm" TargetMode="External"/><Relationship Id="rId140" Type="http://schemas.openxmlformats.org/officeDocument/2006/relationships/hyperlink" Target="http://www.ecu.edu/cs-dhs/bsomadmissions/require.cfm" TargetMode="External"/><Relationship Id="rId161" Type="http://schemas.openxmlformats.org/officeDocument/2006/relationships/hyperlink" Target="http://som.unm.edu/admissions/application/prerequisites.html" TargetMode="External"/><Relationship Id="rId182" Type="http://schemas.openxmlformats.org/officeDocument/2006/relationships/hyperlink" Target="https://medicine.stonybrookmedicine.edu/admissions/requirements" TargetMode="External"/><Relationship Id="rId217" Type="http://schemas.openxmlformats.org/officeDocument/2006/relationships/hyperlink" Target="http://www.thecommonwealthmedical.com/oth/Page.asp?PageID=OTH000156" TargetMode="External"/><Relationship Id="rId6" Type="http://schemas.openxmlformats.org/officeDocument/2006/relationships/hyperlink" Target="http://medicine.uams.edu/files/2013/06/2014_admissions_guide-web.pdf" TargetMode="External"/><Relationship Id="rId238" Type="http://schemas.openxmlformats.org/officeDocument/2006/relationships/hyperlink" Target="http://www.etsu.edu/com/sa/admissions/requirements/academicreq.aspx" TargetMode="External"/><Relationship Id="rId259" Type="http://schemas.openxmlformats.org/officeDocument/2006/relationships/hyperlink" Target="http://som.uthscsa.edu/Admissions/prerequisites.asp" TargetMode="External"/><Relationship Id="rId23" Type="http://schemas.openxmlformats.org/officeDocument/2006/relationships/hyperlink" Target="http://medschool.ucr.edu/admissions/" TargetMode="External"/><Relationship Id="rId119" Type="http://schemas.openxmlformats.org/officeDocument/2006/relationships/hyperlink" Target="http://medicine.umich.edu/medschool/education/md-program/md-admissions/requirements" TargetMode="External"/><Relationship Id="rId270" Type="http://schemas.openxmlformats.org/officeDocument/2006/relationships/hyperlink" Target="http://medicine.vtc.vt.edu/admissions/academic_requirements/" TargetMode="External"/><Relationship Id="rId44" Type="http://schemas.openxmlformats.org/officeDocument/2006/relationships/hyperlink" Target="http://med.fau.edu/admissions/index.php" TargetMode="External"/><Relationship Id="rId65" Type="http://schemas.openxmlformats.org/officeDocument/2006/relationships/hyperlink" Target="http://jabsom.hawaii.edu/ed-programs/md-program/admissions-program/" TargetMode="External"/><Relationship Id="rId86" Type="http://schemas.openxmlformats.org/officeDocument/2006/relationships/hyperlink" Target="http://www.kumc.edu/school-of-medicine/education/admissions/premedical-requirements.html" TargetMode="External"/><Relationship Id="rId130" Type="http://schemas.openxmlformats.org/officeDocument/2006/relationships/hyperlink" Target="http://medicine.missouri.edu/admissions/regular.html" TargetMode="External"/><Relationship Id="rId151" Type="http://schemas.openxmlformats.org/officeDocument/2006/relationships/hyperlink" Target="http://www.unmc.edu/com/entrance.htm" TargetMode="External"/><Relationship Id="rId172" Type="http://schemas.openxmlformats.org/officeDocument/2006/relationships/hyperlink" Target="http://icahn.mssm.edu/education/medical-education/programs/md-program/admissions/academic-standards" TargetMode="External"/><Relationship Id="rId193" Type="http://schemas.openxmlformats.org/officeDocument/2006/relationships/hyperlink" Target="http://www.neomed.edu/admissions/medicine/direct/direct-entry-m.d.-admissions" TargetMode="External"/><Relationship Id="rId207" Type="http://schemas.openxmlformats.org/officeDocument/2006/relationships/hyperlink" Target="https://www.drexelmed.edu/Home/Admissions/MDProgram/AdmissionsRequirements.aspx" TargetMode="External"/><Relationship Id="rId228" Type="http://schemas.openxmlformats.org/officeDocument/2006/relationships/hyperlink" Target="https://www.brown.edu/academics/medical/about/info-pages/admission-requirements" TargetMode="External"/><Relationship Id="rId249" Type="http://schemas.openxmlformats.org/officeDocument/2006/relationships/hyperlink" Target="http://medicine.tamhsc.edu/admissions/faq.html" TargetMode="External"/><Relationship Id="rId13" Type="http://schemas.openxmlformats.org/officeDocument/2006/relationships/hyperlink" Target="http://medicine.llu.edu/admissions/admissions-requirements" TargetMode="External"/><Relationship Id="rId18" Type="http://schemas.openxmlformats.org/officeDocument/2006/relationships/hyperlink" Target="http://www.ucdmc.ucdavis.edu/mdprogram/admissions/requirements.html" TargetMode="External"/><Relationship Id="rId39" Type="http://schemas.openxmlformats.org/officeDocument/2006/relationships/hyperlink" Target="https://som.georgetown.edu/prospectivestudents/degrees/md/guide" TargetMode="External"/><Relationship Id="rId109" Type="http://schemas.openxmlformats.org/officeDocument/2006/relationships/hyperlink" Target="http://www.usuhs.mil/medschool/somfaq.html" TargetMode="External"/><Relationship Id="rId260" Type="http://schemas.openxmlformats.org/officeDocument/2006/relationships/hyperlink" Target="http://www.utsouthwestern.edu/education/medical-school/admissions/apply/process/prerequisites.html" TargetMode="External"/><Relationship Id="rId265" Type="http://schemas.openxmlformats.org/officeDocument/2006/relationships/hyperlink" Target="http://www.evms.edu/education/doctoral_programs/doctor_of_medicine/admissions_criteria/" TargetMode="External"/><Relationship Id="rId281" Type="http://schemas.openxmlformats.org/officeDocument/2006/relationships/hyperlink" Target="http://jcesom.marshall.edu/admissions/admissions-policy/" TargetMode="External"/><Relationship Id="rId34" Type="http://schemas.openxmlformats.org/officeDocument/2006/relationships/hyperlink" Target="http://medicine.uchc.edu/prospective/apply/index.html" TargetMode="External"/><Relationship Id="rId50" Type="http://schemas.openxmlformats.org/officeDocument/2006/relationships/hyperlink" Target="http://med.ucf.edu/administrative-offices/student-affairs/admissions/application-requirements/academic-admissions-requirements/" TargetMode="External"/><Relationship Id="rId55" Type="http://schemas.openxmlformats.org/officeDocument/2006/relationships/hyperlink" Target="http://health.usf.edu/medicine/mdprogram/mdadmissions/requirements.htm" TargetMode="External"/><Relationship Id="rId76" Type="http://schemas.openxmlformats.org/officeDocument/2006/relationships/hyperlink" Target="http://www.rushu.rush.edu/servlet/Satellite?MetaAttrName=meta_university&amp;ParentId=1144343940257&amp;ParentType=RushUnivLevel2Page&amp;c=content_block&amp;cid=1191597747056&amp;level1-p=2&amp;level1-pp=1142960797000&amp;level1-ppp=1142960797000&amp;pagename=Rush%2Fcontent_block%2FCon" TargetMode="External"/><Relationship Id="rId97" Type="http://schemas.openxmlformats.org/officeDocument/2006/relationships/hyperlink" Target="http://www.bumc.bu.edu/admissions/applicationprocess/requirements/" TargetMode="External"/><Relationship Id="rId104" Type="http://schemas.openxmlformats.org/officeDocument/2006/relationships/hyperlink" Target="http://www.umassmed.edu/som/admissions/application-process/academic-requirements/" TargetMode="External"/><Relationship Id="rId120" Type="http://schemas.openxmlformats.org/officeDocument/2006/relationships/hyperlink" Target="http://admissions.med.wayne.edu/requirements.php" TargetMode="External"/><Relationship Id="rId125" Type="http://schemas.openxmlformats.org/officeDocument/2006/relationships/hyperlink" Target="http://www.mayo.edu/mms/programs/md/admissions-and-application-process/prerequisites" TargetMode="External"/><Relationship Id="rId141" Type="http://schemas.openxmlformats.org/officeDocument/2006/relationships/hyperlink" Target="http://www.ecu.edu/cs-dhs/bsomadmissions/require.cfm" TargetMode="External"/><Relationship Id="rId146" Type="http://schemas.openxmlformats.org/officeDocument/2006/relationships/hyperlink" Target="http://www.med.und.edu/student-affairs-admissions/prerequisites.cfm" TargetMode="External"/><Relationship Id="rId167" Type="http://schemas.openxmlformats.org/officeDocument/2006/relationships/hyperlink" Target="http://www.einstein.yu.edu/education/md-program/admissions/application-procedure/course-requirements.aspx" TargetMode="External"/><Relationship Id="rId188" Type="http://schemas.openxmlformats.org/officeDocument/2006/relationships/hyperlink" Target="http://weill.cornell.edu/education/admissions/app_req.html" TargetMode="External"/><Relationship Id="rId7" Type="http://schemas.openxmlformats.org/officeDocument/2006/relationships/hyperlink" Target="http://medicine.arizona.edu/admissions/key-info/requirements" TargetMode="External"/><Relationship Id="rId71" Type="http://schemas.openxmlformats.org/officeDocument/2006/relationships/hyperlink" Target="http://www.feinberg.northwestern.edu/admissions/process/requirements/" TargetMode="External"/><Relationship Id="rId92" Type="http://schemas.openxmlformats.org/officeDocument/2006/relationships/hyperlink" Target="http://www.lsuhscshreveport.edu/Admissions/Requirements.aspx" TargetMode="External"/><Relationship Id="rId162" Type="http://schemas.openxmlformats.org/officeDocument/2006/relationships/hyperlink" Target="http://medicine.nevada.edu/asa/admissions/applicants/selection-factors/course-requirements" TargetMode="External"/><Relationship Id="rId183" Type="http://schemas.openxmlformats.org/officeDocument/2006/relationships/hyperlink" Target="http://medicine.stonybrookmedicine.edu/admissions/welcome" TargetMode="External"/><Relationship Id="rId213" Type="http://schemas.openxmlformats.org/officeDocument/2006/relationships/hyperlink" Target="http://www.med.upenn.edu/admiss/admissions1.html" TargetMode="External"/><Relationship Id="rId218" Type="http://schemas.openxmlformats.org/officeDocument/2006/relationships/hyperlink" Target="http://www.medadmissions.pitt.edu/admissions-requirements/requirements.php" TargetMode="External"/><Relationship Id="rId234" Type="http://schemas.openxmlformats.org/officeDocument/2006/relationships/hyperlink" Target="http://www.greenvillemed.sc.edu/admission.shtml" TargetMode="External"/><Relationship Id="rId239" Type="http://schemas.openxmlformats.org/officeDocument/2006/relationships/hyperlink" Target="http://www.etsu.edu/com/sa/admissions/requirements/academicreq.aspx" TargetMode="External"/><Relationship Id="rId2" Type="http://schemas.openxmlformats.org/officeDocument/2006/relationships/hyperlink" Target="https://www.uab.edu/medicine/home/future-students/admissions/minimum-requirements-for-consideration" TargetMode="External"/><Relationship Id="rId29" Type="http://schemas.openxmlformats.org/officeDocument/2006/relationships/hyperlink" Target="http://www.ucdenver.edu/academics/colleges/medicalschool/education/Admissions/apply/Pages/Requirements.aspx" TargetMode="External"/><Relationship Id="rId250" Type="http://schemas.openxmlformats.org/officeDocument/2006/relationships/hyperlink" Target="http://www.ttuhsc.edu/fostersom/admissions/requirements.aspx" TargetMode="External"/><Relationship Id="rId255" Type="http://schemas.openxmlformats.org/officeDocument/2006/relationships/hyperlink" Target="http://www.utmb.edu/somstudentaffairs/admissions/admission_req.html" TargetMode="External"/><Relationship Id="rId271" Type="http://schemas.openxmlformats.org/officeDocument/2006/relationships/hyperlink" Target="http://www.vtc.vt.edu/education/admissions/academic_requirements.html" TargetMode="External"/><Relationship Id="rId276" Type="http://schemas.openxmlformats.org/officeDocument/2006/relationships/hyperlink" Target="http://www.mcw.edu/Medical-School/Admissions/Milwaukee-Campus/Apply-MCW-Milwaukee/Before-You-Apply.htm" TargetMode="External"/><Relationship Id="rId24" Type="http://schemas.openxmlformats.org/officeDocument/2006/relationships/hyperlink" Target="http://medschool.ucr.edu/admissions/" TargetMode="External"/><Relationship Id="rId40" Type="http://schemas.openxmlformats.org/officeDocument/2006/relationships/hyperlink" Target="https://georgetown.app.box.com/s/1qg8bh8vya2j3s2k8r7c" TargetMode="External"/><Relationship Id="rId45" Type="http://schemas.openxmlformats.org/officeDocument/2006/relationships/hyperlink" Target="http://medicine.fiu.edu/admissions/md/academic-reqs/index.html" TargetMode="External"/><Relationship Id="rId66" Type="http://schemas.openxmlformats.org/officeDocument/2006/relationships/hyperlink" Target="http://jabsom.hawaii.edu/JABSOM/admissions/mdprogram.php?l1=mdp&amp;l2=proS" TargetMode="External"/><Relationship Id="rId87" Type="http://schemas.openxmlformats.org/officeDocument/2006/relationships/hyperlink" Target="http://meded.med.uky.edu/meded-admissions-prerequisites" TargetMode="External"/><Relationship Id="rId110" Type="http://schemas.openxmlformats.org/officeDocument/2006/relationships/hyperlink" Target="http://medschool.umaryland.edu/admissions/appreq.asp" TargetMode="External"/><Relationship Id="rId115" Type="http://schemas.openxmlformats.org/officeDocument/2006/relationships/hyperlink" Target="http://mdadmissions.msu.edu/premedReqs/premed_reqs.php" TargetMode="External"/><Relationship Id="rId131" Type="http://schemas.openxmlformats.org/officeDocument/2006/relationships/hyperlink" Target="http://medicine.missouri.edu/admissions/regular.html" TargetMode="External"/><Relationship Id="rId136" Type="http://schemas.openxmlformats.org/officeDocument/2006/relationships/hyperlink" Target="http://www.umc.edu/Education/Schools/Medicine/SOM_Admissions/Admissions_Criteria.aspx" TargetMode="External"/><Relationship Id="rId157" Type="http://schemas.openxmlformats.org/officeDocument/2006/relationships/hyperlink" Target="http://njms.rutgers.edu/admissions/prospective/apply_requirements.cfm" TargetMode="External"/><Relationship Id="rId178" Type="http://schemas.openxmlformats.org/officeDocument/2006/relationships/hyperlink" Target="http://sls.downstate.edu/admissions/com/requirements.html" TargetMode="External"/><Relationship Id="rId61" Type="http://schemas.openxmlformats.org/officeDocument/2006/relationships/hyperlink" Target="http://medicine.mercer.edu/admissions/md/" TargetMode="External"/><Relationship Id="rId82" Type="http://schemas.openxmlformats.org/officeDocument/2006/relationships/hyperlink" Target="http://medicine.uic.edu/cms/One.aspx?portalId=443021&amp;pageId=19888504" TargetMode="External"/><Relationship Id="rId152" Type="http://schemas.openxmlformats.org/officeDocument/2006/relationships/hyperlink" Target="http://geiselmed.dartmouth.edu/admissions/admission/" TargetMode="External"/><Relationship Id="rId173" Type="http://schemas.openxmlformats.org/officeDocument/2006/relationships/hyperlink" Target="http://icahn.mssm.edu/education/medical-education/programs/md-program/admissions/academic-standards" TargetMode="External"/><Relationship Id="rId194" Type="http://schemas.openxmlformats.org/officeDocument/2006/relationships/hyperlink" Target="http://medicine.osu.edu/admissions/md/preparing/pages/index.aspx" TargetMode="External"/><Relationship Id="rId199" Type="http://schemas.openxmlformats.org/officeDocument/2006/relationships/hyperlink" Target="http://www.utoledo.edu/med/md/admissions/index.html" TargetMode="External"/><Relationship Id="rId203" Type="http://schemas.openxmlformats.org/officeDocument/2006/relationships/hyperlink" Target="http://www.oumedicine.com/collegeofmedicine/information-about-/admissions" TargetMode="External"/><Relationship Id="rId208" Type="http://schemas.openxmlformats.org/officeDocument/2006/relationships/hyperlink" Target="http://www.jefferson.edu/university/skmc/admissions/applying.html" TargetMode="External"/><Relationship Id="rId229" Type="http://schemas.openxmlformats.org/officeDocument/2006/relationships/hyperlink" Target="http://brown.edu/academics/medical/admission/coursework" TargetMode="External"/><Relationship Id="rId19" Type="http://schemas.openxmlformats.org/officeDocument/2006/relationships/hyperlink" Target="http://www.meded.uci.edu/admissions/admission-requirements.asp" TargetMode="External"/><Relationship Id="rId224" Type="http://schemas.openxmlformats.org/officeDocument/2006/relationships/hyperlink" Target="http://www.uccaribe.edu/admission/?page_id=1238" TargetMode="External"/><Relationship Id="rId240" Type="http://schemas.openxmlformats.org/officeDocument/2006/relationships/hyperlink" Target="http://www.mmc.edu/prospectivestudents/admissions/school-of-medicine/index.html" TargetMode="External"/><Relationship Id="rId245" Type="http://schemas.openxmlformats.org/officeDocument/2006/relationships/hyperlink" Target="https://medschool.vanderbilt.edu/admissions/admission-requirements" TargetMode="External"/><Relationship Id="rId261" Type="http://schemas.openxmlformats.org/officeDocument/2006/relationships/hyperlink" Target="http://www.utsouthwestern.edu/education/medical-school/admissions/apply/process/prerequisites.html" TargetMode="External"/><Relationship Id="rId266" Type="http://schemas.openxmlformats.org/officeDocument/2006/relationships/hyperlink" Target="http://www.medicine.virginia.edu/education/medical-students/admissions/the-uva-som-1/general-requirements.html" TargetMode="External"/><Relationship Id="rId14" Type="http://schemas.openxmlformats.org/officeDocument/2006/relationships/hyperlink" Target="http://www.llu.edu/medicine/admissions/admissions-requirements.page?" TargetMode="External"/><Relationship Id="rId30" Type="http://schemas.openxmlformats.org/officeDocument/2006/relationships/hyperlink" Target="http://www.ucdenver.edu/academics/colleges/medicalschool/education/Admissions/apply/Pages/Requirements.aspx" TargetMode="External"/><Relationship Id="rId35" Type="http://schemas.openxmlformats.org/officeDocument/2006/relationships/hyperlink" Target="https://medicine.yale.edu/education/admissions/requirements.aspx" TargetMode="External"/><Relationship Id="rId56" Type="http://schemas.openxmlformats.org/officeDocument/2006/relationships/hyperlink" Target="http://health.usf.edu/medicine/mdprogram/mdadmissions/requirements.htm" TargetMode="External"/><Relationship Id="rId77" Type="http://schemas.openxmlformats.org/officeDocument/2006/relationships/hyperlink" Target="http://www.siumed.edu/studentaffairs/admissions/requirements.html" TargetMode="External"/><Relationship Id="rId100" Type="http://schemas.openxmlformats.org/officeDocument/2006/relationships/hyperlink" Target="http://hms.harvard.edu/departments/admissions/applying/requirements-admission" TargetMode="External"/><Relationship Id="rId105" Type="http://schemas.openxmlformats.org/officeDocument/2006/relationships/hyperlink" Target="http://www.umassmed.edu/som/admissions/reqs.aspx?linkidentifier=id&amp;itemid=95706" TargetMode="External"/><Relationship Id="rId126" Type="http://schemas.openxmlformats.org/officeDocument/2006/relationships/hyperlink" Target="http://www.med.umn.edu/medical-school-students/medical-school-admissions/prerequisites/index.htm" TargetMode="External"/><Relationship Id="rId147" Type="http://schemas.openxmlformats.org/officeDocument/2006/relationships/hyperlink" Target="http://www.med.und.edu/student-affairs-admissions/prerequisites.cfm" TargetMode="External"/><Relationship Id="rId168" Type="http://schemas.openxmlformats.org/officeDocument/2006/relationships/hyperlink" Target="http://ps.columbia.edu/education/admissions/applying/application-requirements" TargetMode="External"/><Relationship Id="rId282" Type="http://schemas.openxmlformats.org/officeDocument/2006/relationships/hyperlink" Target="http://medicine.hsc.wvu.edu/students/office-of-admissions/how-to-apply/" TargetMode="External"/><Relationship Id="rId8" Type="http://schemas.openxmlformats.org/officeDocument/2006/relationships/hyperlink" Target="http://medicine.arizona.edu/admissions/key-info/requirements" TargetMode="External"/><Relationship Id="rId51" Type="http://schemas.openxmlformats.org/officeDocument/2006/relationships/hyperlink" Target="http://admissions.med.ufl.edu/admission-requirements/regular-admission-requirements/" TargetMode="External"/><Relationship Id="rId72" Type="http://schemas.openxmlformats.org/officeDocument/2006/relationships/hyperlink" Target="http://www.feinberg.northwestern.edu/admissions/process/requirements/" TargetMode="External"/><Relationship Id="rId93" Type="http://schemas.openxmlformats.org/officeDocument/2006/relationships/hyperlink" Target="http://www.medschool.lsuhsc.edu/admissions/Requirements.aspx" TargetMode="External"/><Relationship Id="rId98" Type="http://schemas.openxmlformats.org/officeDocument/2006/relationships/hyperlink" Target="http://www.bumc.bu.edu/admissions/applicationprocess/requirements/" TargetMode="External"/><Relationship Id="rId121" Type="http://schemas.openxmlformats.org/officeDocument/2006/relationships/hyperlink" Target="http://admissions.med.wayne.edu/requirements.php" TargetMode="External"/><Relationship Id="rId142" Type="http://schemas.openxmlformats.org/officeDocument/2006/relationships/hyperlink" Target="http://www.med.unc.edu/admit/requirements-1/academic-requirements" TargetMode="External"/><Relationship Id="rId163" Type="http://schemas.openxmlformats.org/officeDocument/2006/relationships/hyperlink" Target="http://medicine.nevada.edu/asa/admissions/applicants/selection-factors/course-requirements" TargetMode="External"/><Relationship Id="rId184" Type="http://schemas.openxmlformats.org/officeDocument/2006/relationships/hyperlink" Target="http://medicine.buffalo.edu/education/md/admissions/admission_requirements.html" TargetMode="External"/><Relationship Id="rId189" Type="http://schemas.openxmlformats.org/officeDocument/2006/relationships/hyperlink" Target="http://weill.cornell.edu/education/admissions/app_req.html" TargetMode="External"/><Relationship Id="rId219" Type="http://schemas.openxmlformats.org/officeDocument/2006/relationships/hyperlink" Target="http://www.medadmissions.pitt.edu/admissions-requirements/requirements.php" TargetMode="External"/><Relationship Id="rId3" Type="http://schemas.openxmlformats.org/officeDocument/2006/relationships/hyperlink" Target="http://www.usahealthsystem.com/how-to-apply" TargetMode="External"/><Relationship Id="rId214" Type="http://schemas.openxmlformats.org/officeDocument/2006/relationships/hyperlink" Target="https://medicine.temple.edu/education/md-program/how-apply/requirements" TargetMode="External"/><Relationship Id="rId230" Type="http://schemas.openxmlformats.org/officeDocument/2006/relationships/hyperlink" Target="http://academicdepartments.musc.edu/com/admissions/applying_college/" TargetMode="External"/><Relationship Id="rId235" Type="http://schemas.openxmlformats.org/officeDocument/2006/relationships/hyperlink" Target="http://www.greenvillemed.sc.edu/admission.shtml" TargetMode="External"/><Relationship Id="rId251" Type="http://schemas.openxmlformats.org/officeDocument/2006/relationships/hyperlink" Target="http://www.ttuhsc.edu/fostersom/admissions/requirements.aspx" TargetMode="External"/><Relationship Id="rId256" Type="http://schemas.openxmlformats.org/officeDocument/2006/relationships/hyperlink" Target="https://med.uth.edu/admissions/admissions-criteria/" TargetMode="External"/><Relationship Id="rId277" Type="http://schemas.openxmlformats.org/officeDocument/2006/relationships/hyperlink" Target="http://www.mcw.edu/medicalschool/prerequisites.htm" TargetMode="External"/><Relationship Id="rId25" Type="http://schemas.openxmlformats.org/officeDocument/2006/relationships/hyperlink" Target="https://meded.ucsd.edu/index.cfm/asa/admissions/application_process/" TargetMode="External"/><Relationship Id="rId46" Type="http://schemas.openxmlformats.org/officeDocument/2006/relationships/hyperlink" Target="http://medicine.fiu.edu/admissions/md/academic-reqs/index.html" TargetMode="External"/><Relationship Id="rId67" Type="http://schemas.openxmlformats.org/officeDocument/2006/relationships/hyperlink" Target="http://www.medicine.uiowa.edu/md/requirements/" TargetMode="External"/><Relationship Id="rId116" Type="http://schemas.openxmlformats.org/officeDocument/2006/relationships/hyperlink" Target="http://www.oakland.edu/medicine/admissions/requirements" TargetMode="External"/><Relationship Id="rId137" Type="http://schemas.openxmlformats.org/officeDocument/2006/relationships/hyperlink" Target="http://www.umc.edu/Education/Schools/Medicine/SOM_Admissions/Admissions_Criteria.aspx" TargetMode="External"/><Relationship Id="rId158" Type="http://schemas.openxmlformats.org/officeDocument/2006/relationships/hyperlink" Target="http://rwjms.umdnj.edu/education/admissions/selection_process.html" TargetMode="External"/><Relationship Id="rId272" Type="http://schemas.openxmlformats.org/officeDocument/2006/relationships/hyperlink" Target="http://www.uvm.edu/medicine/admissions/?Page=requiredcoursework.html&amp;SM=applysubmenu.html" TargetMode="External"/><Relationship Id="rId20" Type="http://schemas.openxmlformats.org/officeDocument/2006/relationships/hyperlink" Target="http://www.meded.uci.edu/Admissions/admissions_information.asp" TargetMode="External"/><Relationship Id="rId41" Type="http://schemas.openxmlformats.org/officeDocument/2006/relationships/hyperlink" Target="http://healthsciences.howard.edu/education/colleges/medicine/admissions/requirements-and-procedures" TargetMode="External"/><Relationship Id="rId62" Type="http://schemas.openxmlformats.org/officeDocument/2006/relationships/hyperlink" Target="http://medicine.mercer.edu/admissions/md/" TargetMode="External"/><Relationship Id="rId83" Type="http://schemas.openxmlformats.org/officeDocument/2006/relationships/hyperlink" Target="http://admissions.medicine.iu.edu/applying-to-the-iu-school-of-medicine/" TargetMode="External"/><Relationship Id="rId88" Type="http://schemas.openxmlformats.org/officeDocument/2006/relationships/hyperlink" Target="http://meded.med.uky.edu/prerequisites-0" TargetMode="External"/><Relationship Id="rId111" Type="http://schemas.openxmlformats.org/officeDocument/2006/relationships/hyperlink" Target="http://medschool.umaryland.edu/admissions/appreq.asp" TargetMode="External"/><Relationship Id="rId132" Type="http://schemas.openxmlformats.org/officeDocument/2006/relationships/hyperlink" Target="http://med.umkc.edu/md/requirements/" TargetMode="External"/><Relationship Id="rId153" Type="http://schemas.openxmlformats.org/officeDocument/2006/relationships/hyperlink" Target="http://geiselmed.dartmouth.edu/admissions/admission/" TargetMode="External"/><Relationship Id="rId174" Type="http://schemas.openxmlformats.org/officeDocument/2006/relationships/hyperlink" Target="https://www.nymc.edu/school-of-medicine-som/admissions--financial-aid/how-to-apply/premedical-course-requirements/" TargetMode="External"/><Relationship Id="rId179" Type="http://schemas.openxmlformats.org/officeDocument/2006/relationships/hyperlink" Target="http://sls.downstate.edu/admissions/com/requirements.html" TargetMode="External"/><Relationship Id="rId195" Type="http://schemas.openxmlformats.org/officeDocument/2006/relationships/hyperlink" Target="http://medicine.osu.edu/admissions/md/preparing/pages/index.aspx" TargetMode="External"/><Relationship Id="rId209" Type="http://schemas.openxmlformats.org/officeDocument/2006/relationships/hyperlink" Target="http://www.jefferson.edu/jmc/admissions/apply/procedure.html" TargetMode="External"/><Relationship Id="rId190" Type="http://schemas.openxmlformats.org/officeDocument/2006/relationships/hyperlink" Target="http://casemed.case.edu/admissions/process/requirements.cfm" TargetMode="External"/><Relationship Id="rId204" Type="http://schemas.openxmlformats.org/officeDocument/2006/relationships/hyperlink" Target="http://www.ohsu.edu/xd/education/schools/school-of-medicine/academic-programs/md-program/admissions/requirements.cfm" TargetMode="External"/><Relationship Id="rId220" Type="http://schemas.openxmlformats.org/officeDocument/2006/relationships/hyperlink" Target="http://www.psm.edu/education/md-program/" TargetMode="External"/><Relationship Id="rId225" Type="http://schemas.openxmlformats.org/officeDocument/2006/relationships/hyperlink" Target="http://www.uccaribe.edu/admission/?page_id=1238" TargetMode="External"/><Relationship Id="rId241" Type="http://schemas.openxmlformats.org/officeDocument/2006/relationships/hyperlink" Target="http://www.mmc.edu/prospectivestudents/admissions/school-of-medicine/index.html" TargetMode="External"/><Relationship Id="rId246" Type="http://schemas.openxmlformats.org/officeDocument/2006/relationships/hyperlink" Target="https://www.bcm.edu/education/schools/medical-school/admissions/requirements" TargetMode="External"/><Relationship Id="rId267" Type="http://schemas.openxmlformats.org/officeDocument/2006/relationships/hyperlink" Target="http://www.medicine.virginia.edu/education/medical-students/admissions/the-uva-som-1/general-requirements.html" TargetMode="External"/><Relationship Id="rId15" Type="http://schemas.openxmlformats.org/officeDocument/2006/relationships/hyperlink" Target="http://med.stanford.edu/md-admissions/how-to-apply/academic-requirements.html" TargetMode="External"/><Relationship Id="rId36" Type="http://schemas.openxmlformats.org/officeDocument/2006/relationships/hyperlink" Target="http://medicine.yale.edu/education/admissions/apply/premed.aspx" TargetMode="External"/><Relationship Id="rId57" Type="http://schemas.openxmlformats.org/officeDocument/2006/relationships/hyperlink" Target="http://med.emory.edu/education/admissions/md/how_to_apply/application_requirements.html" TargetMode="External"/><Relationship Id="rId106" Type="http://schemas.openxmlformats.org/officeDocument/2006/relationships/hyperlink" Target="http://www.hopkinsmedicine.org/som/admissions/md/process/requirements.html" TargetMode="External"/><Relationship Id="rId127" Type="http://schemas.openxmlformats.org/officeDocument/2006/relationships/hyperlink" Target="http://www.med.umn.edu/medical-school-students/medical-school-admissions/prerequisites/index.htm" TargetMode="External"/><Relationship Id="rId262" Type="http://schemas.openxmlformats.org/officeDocument/2006/relationships/hyperlink" Target="http://medicine.utah.edu/admissions/begin/premedical.php" TargetMode="External"/><Relationship Id="rId283" Type="http://schemas.openxmlformats.org/officeDocument/2006/relationships/hyperlink" Target="http://medicine.hsc.wvu.edu/Students/About-SoM/Admission-Process/Admission-Requirements" TargetMode="External"/><Relationship Id="rId10" Type="http://schemas.openxmlformats.org/officeDocument/2006/relationships/hyperlink" Target="http://phoenixmed.arizona.edu/admissions/admission-qualifications/academic-requirements" TargetMode="External"/><Relationship Id="rId31" Type="http://schemas.openxmlformats.org/officeDocument/2006/relationships/hyperlink" Target="http://www.quinnipiac.edu/academics/colleges-schools-and-departments/school-of-medicine/admissions/academic-requirements/" TargetMode="External"/><Relationship Id="rId52" Type="http://schemas.openxmlformats.org/officeDocument/2006/relationships/hyperlink" Target="http://admissions.med.ufl.edu/admission-requirements/regular-admission-requirements/" TargetMode="External"/><Relationship Id="rId73" Type="http://schemas.openxmlformats.org/officeDocument/2006/relationships/hyperlink" Target="https://rosalindfranklin.edu/academics/chicago-medical-school/degree-program/" TargetMode="External"/><Relationship Id="rId78" Type="http://schemas.openxmlformats.org/officeDocument/2006/relationships/hyperlink" Target="http://www.siumed.edu/studentaffairs/admissions/requirements.html" TargetMode="External"/><Relationship Id="rId94" Type="http://schemas.openxmlformats.org/officeDocument/2006/relationships/hyperlink" Target="http://www.medschool.lsuhsc.edu/admissions/Requirements.aspx" TargetMode="External"/><Relationship Id="rId99" Type="http://schemas.openxmlformats.org/officeDocument/2006/relationships/hyperlink" Target="http://hms.harvard.edu/content/requirements-admission" TargetMode="External"/><Relationship Id="rId101" Type="http://schemas.openxmlformats.org/officeDocument/2006/relationships/hyperlink" Target="http://hms.harvard.edu/departments/admissions/applying/requirements-admission" TargetMode="External"/><Relationship Id="rId122" Type="http://schemas.openxmlformats.org/officeDocument/2006/relationships/hyperlink" Target="http://med.wmich.edu/education/students/future-medical-students/application-requirements" TargetMode="External"/><Relationship Id="rId143" Type="http://schemas.openxmlformats.org/officeDocument/2006/relationships/hyperlink" Target="http://www.med.unc.edu/admit/requirements-1/academic-requirements" TargetMode="External"/><Relationship Id="rId148" Type="http://schemas.openxmlformats.org/officeDocument/2006/relationships/hyperlink" Target="http://medschool.creighton.edu/medicine/oma/app/req/index.php" TargetMode="External"/><Relationship Id="rId164" Type="http://schemas.openxmlformats.org/officeDocument/2006/relationships/hyperlink" Target="http://www.amc.edu/academic/Undergraduate_Admissions/" TargetMode="External"/><Relationship Id="rId169" Type="http://schemas.openxmlformats.org/officeDocument/2006/relationships/hyperlink" Target="http://ps.columbia.edu/education/admissions/applying/application-requirements" TargetMode="External"/><Relationship Id="rId185" Type="http://schemas.openxmlformats.org/officeDocument/2006/relationships/hyperlink" Target="http://medicine.buffalo.edu/education/md/admissions/admission_requirements/prerequisite.html" TargetMode="External"/><Relationship Id="rId4" Type="http://schemas.openxmlformats.org/officeDocument/2006/relationships/hyperlink" Target="http://www.usahealthsystem.com/how-to-apply" TargetMode="External"/><Relationship Id="rId9" Type="http://schemas.openxmlformats.org/officeDocument/2006/relationships/hyperlink" Target="http://phoenixmed.arizona.edu/admission-requirements/academic" TargetMode="External"/><Relationship Id="rId180" Type="http://schemas.openxmlformats.org/officeDocument/2006/relationships/hyperlink" Target="http://www.upstate.edu/com/admissions/faqs.php" TargetMode="External"/><Relationship Id="rId210" Type="http://schemas.openxmlformats.org/officeDocument/2006/relationships/hyperlink" Target="https://www2.med.psu.edu/mdadmissions/admissions/application-process/admissions-requirements/" TargetMode="External"/><Relationship Id="rId215" Type="http://schemas.openxmlformats.org/officeDocument/2006/relationships/hyperlink" Target="http://www.temple.edu/medicine/admissions/prospective_students/md_applicants.htm" TargetMode="External"/><Relationship Id="rId236" Type="http://schemas.openxmlformats.org/officeDocument/2006/relationships/hyperlink" Target="http://www.usd.edu/medical-school/medical-doctor-program/application-requirements.cfm" TargetMode="External"/><Relationship Id="rId257" Type="http://schemas.openxmlformats.org/officeDocument/2006/relationships/hyperlink" Target="https://med.uth.edu/admissions/admissions-criteria/" TargetMode="External"/><Relationship Id="rId278" Type="http://schemas.openxmlformats.org/officeDocument/2006/relationships/hyperlink" Target="http://www.med.wisc.edu/education/md/admissions/premedical-requirements/110" TargetMode="External"/><Relationship Id="rId26" Type="http://schemas.openxmlformats.org/officeDocument/2006/relationships/hyperlink" Target="http://meded.ucsd.edu/index.cfm/asa/admissions/application_process/step_by_step/" TargetMode="External"/><Relationship Id="rId231" Type="http://schemas.openxmlformats.org/officeDocument/2006/relationships/hyperlink" Target="http://academicdepartments.musc.edu/esl/bulletin/medicine/admiss.html" TargetMode="External"/><Relationship Id="rId252" Type="http://schemas.openxmlformats.org/officeDocument/2006/relationships/hyperlink" Target="http://www.ttuhsc.edu/som/admissions/reqs.aspx" TargetMode="External"/><Relationship Id="rId273" Type="http://schemas.openxmlformats.org/officeDocument/2006/relationships/hyperlink" Target="http://www.uvm.edu/medicine/admissions/?Page=requiredcoursework.html&amp;SM=applysubmenu.html" TargetMode="External"/><Relationship Id="rId47" Type="http://schemas.openxmlformats.org/officeDocument/2006/relationships/hyperlink" Target="http://med.fsu.edu/index.cfm?page=mdAdmissions.admissionRequirements" TargetMode="External"/><Relationship Id="rId68" Type="http://schemas.openxmlformats.org/officeDocument/2006/relationships/hyperlink" Target="http://www.medicine.uiowa.edu/md/requirements/" TargetMode="External"/><Relationship Id="rId89" Type="http://schemas.openxmlformats.org/officeDocument/2006/relationships/hyperlink" Target="http://louisville.edu/medicine/admissions/app-process/complete-prerequisites" TargetMode="External"/><Relationship Id="rId112" Type="http://schemas.openxmlformats.org/officeDocument/2006/relationships/hyperlink" Target="https://www.cmich.edu/colleges/cmed/Education/MDProgram/Admissions/Pages/default.aspx" TargetMode="External"/><Relationship Id="rId133" Type="http://schemas.openxmlformats.org/officeDocument/2006/relationships/hyperlink" Target="http://med.umkc.edu/md/requirements/" TargetMode="External"/><Relationship Id="rId154" Type="http://schemas.openxmlformats.org/officeDocument/2006/relationships/hyperlink" Target="http://www.rowan.edu/coopermed/students/admissions/admissionrequirements.php" TargetMode="External"/><Relationship Id="rId175" Type="http://schemas.openxmlformats.org/officeDocument/2006/relationships/hyperlink" Target="http://www.nymc.edu/Academics/SchoolOfMedicine/Admissions/PremedicalCourseworkRequirements.html" TargetMode="External"/><Relationship Id="rId196" Type="http://schemas.openxmlformats.org/officeDocument/2006/relationships/hyperlink" Target="https://med.uc.edu/medicalstudentadmissions/mdrequirements" TargetMode="External"/><Relationship Id="rId200" Type="http://schemas.openxmlformats.org/officeDocument/2006/relationships/hyperlink" Target="http://www.med.wright.edu/admiss/prerequisites" TargetMode="External"/><Relationship Id="rId16" Type="http://schemas.openxmlformats.org/officeDocument/2006/relationships/hyperlink" Target="http://med.stanford.edu/md/admissions/preparation.html" TargetMode="External"/><Relationship Id="rId221" Type="http://schemas.openxmlformats.org/officeDocument/2006/relationships/hyperlink" Target="http://www.psm.edu/Student_Affairs/Admissions/programs.htm" TargetMode="External"/><Relationship Id="rId242" Type="http://schemas.openxmlformats.org/officeDocument/2006/relationships/hyperlink" Target="http://www.uthsc.edu/Medicine/Admissions/admissionsrequirements.php" TargetMode="External"/><Relationship Id="rId263" Type="http://schemas.openxmlformats.org/officeDocument/2006/relationships/hyperlink" Target="http://medicine.utah.edu/admissions/begin/premedical.php" TargetMode="External"/><Relationship Id="rId284" Type="http://schemas.openxmlformats.org/officeDocument/2006/relationships/hyperlink" Target="http://dellmedschool.utexas.edu/prospective-students/selection-criteria" TargetMode="External"/><Relationship Id="rId37" Type="http://schemas.openxmlformats.org/officeDocument/2006/relationships/hyperlink" Target="http://smhs.gwu.edu/academics/md-program/admissions/application-process/minimum-eligibility-recommendations-2017-cycle" TargetMode="External"/><Relationship Id="rId58" Type="http://schemas.openxmlformats.org/officeDocument/2006/relationships/hyperlink" Target="http://med.emory.edu/education/admissions/md/how_to_apply/application_requirements.html" TargetMode="External"/><Relationship Id="rId79" Type="http://schemas.openxmlformats.org/officeDocument/2006/relationships/hyperlink" Target="https://pritzker.uchicago.edu/page/admissions" TargetMode="External"/><Relationship Id="rId102" Type="http://schemas.openxmlformats.org/officeDocument/2006/relationships/hyperlink" Target="http://medicine.tufts.edu/Admissions/MD-Application-Process" TargetMode="External"/><Relationship Id="rId123" Type="http://schemas.openxmlformats.org/officeDocument/2006/relationships/hyperlink" Target="http://med.wmich.edu/education/students/future-students/admission-requirements" TargetMode="External"/><Relationship Id="rId144" Type="http://schemas.openxmlformats.org/officeDocument/2006/relationships/hyperlink" Target="http://www.wakehealth.edu/School/MD-Program/Admissions/Academic-Requirements.htm" TargetMode="External"/><Relationship Id="rId90" Type="http://schemas.openxmlformats.org/officeDocument/2006/relationships/hyperlink" Target="http://louisville.edu/medicine/admissions/app-process/complete-prerequisites" TargetMode="External"/><Relationship Id="rId165" Type="http://schemas.openxmlformats.org/officeDocument/2006/relationships/hyperlink" Target="http://www.amc.edu/academic/Undergraduate_Admissions/" TargetMode="External"/><Relationship Id="rId186" Type="http://schemas.openxmlformats.org/officeDocument/2006/relationships/hyperlink" Target="http://www.urmc.rochester.edu/education/md/admissions/process-overview/admissions-requirements.cfm" TargetMode="External"/><Relationship Id="rId211" Type="http://schemas.openxmlformats.org/officeDocument/2006/relationships/hyperlink" Target="https://www2.med.psu.edu/mdadmissions/admissions/application-process/admissions-requirements/" TargetMode="External"/><Relationship Id="rId232" Type="http://schemas.openxmlformats.org/officeDocument/2006/relationships/hyperlink" Target="http://admissions.med.sc.edu/admissions.requirements.asp" TargetMode="External"/><Relationship Id="rId253" Type="http://schemas.openxmlformats.org/officeDocument/2006/relationships/hyperlink" Target="http://www.ttuhsc.edu/som/admissions/reqs.aspx" TargetMode="External"/><Relationship Id="rId274" Type="http://schemas.openxmlformats.org/officeDocument/2006/relationships/hyperlink" Target="http://www.uwmedicine.org/Education/MD-Program/Admissions/Applicants/Pages/Pre-med-Course-Requirements.aspx" TargetMode="External"/><Relationship Id="rId27" Type="http://schemas.openxmlformats.org/officeDocument/2006/relationships/hyperlink" Target="http://meded.ucsf.edu/admissions/getting-started" TargetMode="External"/><Relationship Id="rId48" Type="http://schemas.openxmlformats.org/officeDocument/2006/relationships/hyperlink" Target="http://med.fsu.edu/?page=mdAdmissions.admissionRequirements" TargetMode="External"/><Relationship Id="rId69" Type="http://schemas.openxmlformats.org/officeDocument/2006/relationships/hyperlink" Target="http://www.stritch.luc.edu/admission" TargetMode="External"/><Relationship Id="rId113" Type="http://schemas.openxmlformats.org/officeDocument/2006/relationships/hyperlink" Target="https://www.cmich.edu/colleges/cmed/students/Pages/Admissions%20Requirements.aspx" TargetMode="External"/><Relationship Id="rId134" Type="http://schemas.openxmlformats.org/officeDocument/2006/relationships/hyperlink" Target="https://mdadmissions.wustl.edu/how-to-apply/requirements/" TargetMode="External"/><Relationship Id="rId80" Type="http://schemas.openxmlformats.org/officeDocument/2006/relationships/hyperlink" Target="http://pritzker.uchicago.edu/admissions/requirements/" TargetMode="External"/><Relationship Id="rId155" Type="http://schemas.openxmlformats.org/officeDocument/2006/relationships/hyperlink" Target="http://www.rowan.edu/coopermed/students/admissions/prerequisites.php" TargetMode="External"/><Relationship Id="rId176" Type="http://schemas.openxmlformats.org/officeDocument/2006/relationships/hyperlink" Target="http://school.med.nyu.edu/md-admissions/how-apply/admissions-requirements-selection-criteria" TargetMode="External"/><Relationship Id="rId197" Type="http://schemas.openxmlformats.org/officeDocument/2006/relationships/hyperlink" Target="http://med.uc.edu/StudentServices/MedicalStudentAdmissions/Requirements.aspx" TargetMode="External"/><Relationship Id="rId201" Type="http://schemas.openxmlformats.org/officeDocument/2006/relationships/hyperlink" Target="http://www.med.wright.edu/admiss/prerequisites" TargetMode="External"/><Relationship Id="rId222" Type="http://schemas.openxmlformats.org/officeDocument/2006/relationships/hyperlink" Target="http://www.sanjuanbautista.edu/Admissions.aspx" TargetMode="External"/><Relationship Id="rId243" Type="http://schemas.openxmlformats.org/officeDocument/2006/relationships/hyperlink" Target="http://www.uthsc.edu/Medicine/Admissions/admissionsrequirements.php" TargetMode="External"/><Relationship Id="rId264" Type="http://schemas.openxmlformats.org/officeDocument/2006/relationships/hyperlink" Target="https://www.evms.edu/education/medical_programs/doctor_of_medicine/admissions_criteria/" TargetMode="External"/><Relationship Id="rId285" Type="http://schemas.openxmlformats.org/officeDocument/2006/relationships/hyperlink" Target="http://www.utrgv.edu/school-of-medicine/admissions-and-aid/admissions-requirements/index.htm" TargetMode="External"/><Relationship Id="rId17" Type="http://schemas.openxmlformats.org/officeDocument/2006/relationships/hyperlink" Target="http://www.ucdmc.ucdavis.edu/mdprogram/admissions/requirements.html" TargetMode="External"/><Relationship Id="rId38" Type="http://schemas.openxmlformats.org/officeDocument/2006/relationships/hyperlink" Target="http://smhs.gwu.edu/academics/md/admissions/apply/faq" TargetMode="External"/><Relationship Id="rId59" Type="http://schemas.openxmlformats.org/officeDocument/2006/relationships/hyperlink" Target="http://www.gru.edu/mcg/admissions/application/prerequisites.php" TargetMode="External"/><Relationship Id="rId103" Type="http://schemas.openxmlformats.org/officeDocument/2006/relationships/hyperlink" Target="http://md.tufts.edu/Admissions/MD-Application-Process/Course-Prerequisites" TargetMode="External"/><Relationship Id="rId124" Type="http://schemas.openxmlformats.org/officeDocument/2006/relationships/hyperlink" Target="http://www.mayo.edu/mms/programs/md/admissions-and-application-process/prerequisites" TargetMode="External"/><Relationship Id="rId70" Type="http://schemas.openxmlformats.org/officeDocument/2006/relationships/hyperlink" Target="http://www.stritch.luc.edu/admission" TargetMode="External"/><Relationship Id="rId91" Type="http://schemas.openxmlformats.org/officeDocument/2006/relationships/hyperlink" Target="http://www.lsuhscshreveport.edu/Education/som/admissions/requirements/index" TargetMode="External"/><Relationship Id="rId145" Type="http://schemas.openxmlformats.org/officeDocument/2006/relationships/hyperlink" Target="http://www.wakehealth.edu/School/Admissions/" TargetMode="External"/><Relationship Id="rId166" Type="http://schemas.openxmlformats.org/officeDocument/2006/relationships/hyperlink" Target="http://www.einstein.yu.edu/education/md-program/admissions/application-procedure/course-requirements.aspx" TargetMode="External"/><Relationship Id="rId187" Type="http://schemas.openxmlformats.org/officeDocument/2006/relationships/hyperlink" Target="http://www.urmc.rochester.edu/education/md/admissions/process-overview/admissions-requirements.cfm" TargetMode="External"/><Relationship Id="rId1" Type="http://schemas.openxmlformats.org/officeDocument/2006/relationships/hyperlink" Target="https://www.uab.edu/medicine/home/future-students/admissions/minimum-requirements-for-consideration" TargetMode="External"/><Relationship Id="rId212" Type="http://schemas.openxmlformats.org/officeDocument/2006/relationships/hyperlink" Target="http://www.med.upenn.edu/admiss/admissions1.html" TargetMode="External"/><Relationship Id="rId233" Type="http://schemas.openxmlformats.org/officeDocument/2006/relationships/hyperlink" Target="http://admissions.med.sc.edu/admissions.requirements.asp" TargetMode="External"/><Relationship Id="rId254" Type="http://schemas.openxmlformats.org/officeDocument/2006/relationships/hyperlink" Target="https://som.utmb.edu/Admissions/admission_requirements.asp" TargetMode="External"/><Relationship Id="rId28" Type="http://schemas.openxmlformats.org/officeDocument/2006/relationships/hyperlink" Target="http://meded.ucsf.edu/admissions/getting-started" TargetMode="External"/><Relationship Id="rId49" Type="http://schemas.openxmlformats.org/officeDocument/2006/relationships/hyperlink" Target="http://med.ucf.edu/administrative-offices/student-affairs/admissions/application-requirements/academic-admissions-requirements/" TargetMode="External"/><Relationship Id="rId114" Type="http://schemas.openxmlformats.org/officeDocument/2006/relationships/hyperlink" Target="http://www.mdadmissions.msu.edu/ApplicationProcess/future/admiss_req.htm" TargetMode="External"/><Relationship Id="rId275" Type="http://schemas.openxmlformats.org/officeDocument/2006/relationships/hyperlink" Target="http://www.uwmedicine.org/Education/MD-Program/Admissions/Applicants/Pages/Pre-med-Course-Requirements.aspx" TargetMode="External"/><Relationship Id="rId60" Type="http://schemas.openxmlformats.org/officeDocument/2006/relationships/hyperlink" Target="http://www.gru.edu/mcg/admissions/application/prerequisites.php" TargetMode="External"/><Relationship Id="rId81" Type="http://schemas.openxmlformats.org/officeDocument/2006/relationships/hyperlink" Target="http://www.medicine.uic.edu/education/m_d_admissions/requirements_and_timeline" TargetMode="External"/><Relationship Id="rId135" Type="http://schemas.openxmlformats.org/officeDocument/2006/relationships/hyperlink" Target="http://medadmissions.wustl.edu/HowtoApply/ApplicationProcess/Pages/Requirements.aspx" TargetMode="External"/><Relationship Id="rId156" Type="http://schemas.openxmlformats.org/officeDocument/2006/relationships/hyperlink" Target="http://njms.rutgers.edu/admissions/prospective/apply_requirements.cfm" TargetMode="External"/><Relationship Id="rId177" Type="http://schemas.openxmlformats.org/officeDocument/2006/relationships/hyperlink" Target="http://school.med.nyu.edu/md-admissions/how-apply/admissions-requirements-selection-criteria" TargetMode="External"/><Relationship Id="rId198" Type="http://schemas.openxmlformats.org/officeDocument/2006/relationships/hyperlink" Target="http://www.utoledo.edu/med/md/admissions/index.html" TargetMode="External"/><Relationship Id="rId202" Type="http://schemas.openxmlformats.org/officeDocument/2006/relationships/hyperlink" Target="https://www.oumedicine.com/college-of-medicine/information-about/admissionsadmissions" TargetMode="External"/><Relationship Id="rId223" Type="http://schemas.openxmlformats.org/officeDocument/2006/relationships/hyperlink" Target="http://www.sanjuanbautista.edu/Admissions.aspx" TargetMode="External"/><Relationship Id="rId244" Type="http://schemas.openxmlformats.org/officeDocument/2006/relationships/hyperlink" Target="https://medschool.vanderbilt.edu/md-admissions/admissions-process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admissions.med.ufl.edu/admission-requirements/regular-admission-requirements/" TargetMode="External"/><Relationship Id="rId117" Type="http://schemas.openxmlformats.org/officeDocument/2006/relationships/hyperlink" Target="http://www.greenvillemed.sc.edu/admission.shtml" TargetMode="External"/><Relationship Id="rId21" Type="http://schemas.openxmlformats.org/officeDocument/2006/relationships/hyperlink" Target="http://healthsciences.howard.edu/education/colleges/medicine/admissions/requirements-and-procedures" TargetMode="External"/><Relationship Id="rId42" Type="http://schemas.openxmlformats.org/officeDocument/2006/relationships/hyperlink" Target="http://admissions.medicine.iu.edu/applying-to-the-iu-school-of-medicine/" TargetMode="External"/><Relationship Id="rId47" Type="http://schemas.openxmlformats.org/officeDocument/2006/relationships/hyperlink" Target="http://www.medschool.lsuhsc.edu/admissions/Requirements.aspx" TargetMode="External"/><Relationship Id="rId63" Type="http://schemas.openxmlformats.org/officeDocument/2006/relationships/hyperlink" Target="http://www.med.umn.edu/medical-school-students/medical-school-admissions/prerequisites/index.htm" TargetMode="External"/><Relationship Id="rId68" Type="http://schemas.openxmlformats.org/officeDocument/2006/relationships/hyperlink" Target="http://www.umc.edu/Education/Schools/Medicine/SOM_Admissions/Admissions_Criteria.aspx" TargetMode="External"/><Relationship Id="rId84" Type="http://schemas.openxmlformats.org/officeDocument/2006/relationships/hyperlink" Target="http://ps.columbia.edu/education/admissions/applying/application-requirements" TargetMode="External"/><Relationship Id="rId89" Type="http://schemas.openxmlformats.org/officeDocument/2006/relationships/hyperlink" Target="http://sls.downstate.edu/admissions/com/requirements.html" TargetMode="External"/><Relationship Id="rId112" Type="http://schemas.openxmlformats.org/officeDocument/2006/relationships/hyperlink" Target="http://www.uccaribe.edu/admission/?page_id=1238" TargetMode="External"/><Relationship Id="rId133" Type="http://schemas.openxmlformats.org/officeDocument/2006/relationships/hyperlink" Target="https://med.virginia.edu/admissions/application-process/general-requirements/" TargetMode="External"/><Relationship Id="rId138" Type="http://schemas.openxmlformats.org/officeDocument/2006/relationships/hyperlink" Target="http://www.mcw.edu/Medical-School/Admissions/Milwaukee-Campus/Apply-MCW-Milwaukee/Before-You-Apply.htm" TargetMode="External"/><Relationship Id="rId16" Type="http://schemas.openxmlformats.org/officeDocument/2006/relationships/hyperlink" Target="http://www.quinnipiac.edu/academics/colleges-schools-and-departments/school-of-medicine/admissions/academic-requirements/" TargetMode="External"/><Relationship Id="rId107" Type="http://schemas.openxmlformats.org/officeDocument/2006/relationships/hyperlink" Target="https://medicine.temple.edu/education/md-program/how-apply/requirements" TargetMode="External"/><Relationship Id="rId11" Type="http://schemas.openxmlformats.org/officeDocument/2006/relationships/hyperlink" Target="http://medschool.ucla.edu/apply-prerequisites" TargetMode="External"/><Relationship Id="rId32" Type="http://schemas.openxmlformats.org/officeDocument/2006/relationships/hyperlink" Target="http://www.msm.edu/Admissions/mdadmissionsrequirements.php" TargetMode="External"/><Relationship Id="rId37" Type="http://schemas.openxmlformats.org/officeDocument/2006/relationships/hyperlink" Target="https://rosalindfranklin.edu/academics/chicago-medical-school/degree-program/" TargetMode="External"/><Relationship Id="rId53" Type="http://schemas.openxmlformats.org/officeDocument/2006/relationships/hyperlink" Target="http://www.hopkinsmedicine.org/som/admissions/md/process/requirements.html" TargetMode="External"/><Relationship Id="rId58" Type="http://schemas.openxmlformats.org/officeDocument/2006/relationships/hyperlink" Target="http://www.oakland.edu/medicine/admissions/requirements" TargetMode="External"/><Relationship Id="rId74" Type="http://schemas.openxmlformats.org/officeDocument/2006/relationships/hyperlink" Target="http://medschool.creighton.edu/medicine/oma/app/req/index.php" TargetMode="External"/><Relationship Id="rId79" Type="http://schemas.openxmlformats.org/officeDocument/2006/relationships/hyperlink" Target="http://rwjms.umdnj.edu/education/admissions/selection_process.html" TargetMode="External"/><Relationship Id="rId102" Type="http://schemas.openxmlformats.org/officeDocument/2006/relationships/hyperlink" Target="http://www.ohsu.edu/xd/education/schools/school-of-medicine/academic-programs/md-program/admissions/requirements.cfm" TargetMode="External"/><Relationship Id="rId123" Type="http://schemas.openxmlformats.org/officeDocument/2006/relationships/hyperlink" Target="https://www.bcm.edu/education/schools/medical-school/admissions/requirements" TargetMode="External"/><Relationship Id="rId128" Type="http://schemas.openxmlformats.org/officeDocument/2006/relationships/hyperlink" Target="https://med.uth.edu/admissions/admissions-criteria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://phoenixmed.arizona.edu/admission-requirements/academic" TargetMode="External"/><Relationship Id="rId90" Type="http://schemas.openxmlformats.org/officeDocument/2006/relationships/hyperlink" Target="http://www.upstate.edu/com/admissions/faqs.php" TargetMode="External"/><Relationship Id="rId95" Type="http://schemas.openxmlformats.org/officeDocument/2006/relationships/hyperlink" Target="http://casemed.case.edu/admissions/process/requirements.cfm" TargetMode="External"/><Relationship Id="rId22" Type="http://schemas.openxmlformats.org/officeDocument/2006/relationships/hyperlink" Target="http://med.fau.edu/admissions/md/reqpro.php" TargetMode="External"/><Relationship Id="rId27" Type="http://schemas.openxmlformats.org/officeDocument/2006/relationships/hyperlink" Target="http://admissions.med.miami.edu/md-programs/general-md/prerequisites" TargetMode="External"/><Relationship Id="rId43" Type="http://schemas.openxmlformats.org/officeDocument/2006/relationships/hyperlink" Target="http://www.kumc.edu/school-of-medicine/education/admissions/premedical-requirements.html" TargetMode="External"/><Relationship Id="rId48" Type="http://schemas.openxmlformats.org/officeDocument/2006/relationships/hyperlink" Target="http://tulane.edu/som/admissions/apply/selection-factors.cfm" TargetMode="External"/><Relationship Id="rId64" Type="http://schemas.openxmlformats.org/officeDocument/2006/relationships/hyperlink" Target="http://www.slu.edu/medicine/admissions/how-to-apply" TargetMode="External"/><Relationship Id="rId69" Type="http://schemas.openxmlformats.org/officeDocument/2006/relationships/hyperlink" Target="http://dukemed.duke.edu/modules/ooa_applicant/index.php?id=21" TargetMode="External"/><Relationship Id="rId113" Type="http://schemas.openxmlformats.org/officeDocument/2006/relationships/hyperlink" Target="http://md.rcm.upr.edu/md-program/" TargetMode="External"/><Relationship Id="rId118" Type="http://schemas.openxmlformats.org/officeDocument/2006/relationships/hyperlink" Target="http://www.usd.edu/medical-school/medical-doctor-program/application-requirements.cfm" TargetMode="External"/><Relationship Id="rId134" Type="http://schemas.openxmlformats.org/officeDocument/2006/relationships/hyperlink" Target="http://www.medschool.vcu.edu/admissions/md/prerequisites/" TargetMode="External"/><Relationship Id="rId139" Type="http://schemas.openxmlformats.org/officeDocument/2006/relationships/hyperlink" Target="http://www.med.wisc.edu/education/md/admissions/premedical-requirements/110" TargetMode="External"/><Relationship Id="rId8" Type="http://schemas.openxmlformats.org/officeDocument/2006/relationships/hyperlink" Target="http://med.stanford.edu/md-admissions/how-to-apply/academic-requirements.html" TargetMode="External"/><Relationship Id="rId51" Type="http://schemas.openxmlformats.org/officeDocument/2006/relationships/hyperlink" Target="http://medicine.tufts.edu/Admissions/MD-Application-Process" TargetMode="External"/><Relationship Id="rId72" Type="http://schemas.openxmlformats.org/officeDocument/2006/relationships/hyperlink" Target="http://www.wakehealth.edu/School/MD-Program/Admissions/Academic-Requirements.htm" TargetMode="External"/><Relationship Id="rId80" Type="http://schemas.openxmlformats.org/officeDocument/2006/relationships/hyperlink" Target="http://som.unm.edu/education/md/admissions/prerequisites.html" TargetMode="External"/><Relationship Id="rId85" Type="http://schemas.openxmlformats.org/officeDocument/2006/relationships/hyperlink" Target="http://medicine.hofstra.edu/admission/md/mdadmissions_application_req.html" TargetMode="External"/><Relationship Id="rId93" Type="http://schemas.openxmlformats.org/officeDocument/2006/relationships/hyperlink" Target="http://www.urmc.rochester.edu/education/md/admissions/process-overview/admissions-requirements.cfm" TargetMode="External"/><Relationship Id="rId98" Type="http://schemas.openxmlformats.org/officeDocument/2006/relationships/hyperlink" Target="https://med.uc.edu/medicalstudentadmissions/mdrequirements" TargetMode="External"/><Relationship Id="rId121" Type="http://schemas.openxmlformats.org/officeDocument/2006/relationships/hyperlink" Target="http://www.uthsc.edu/Medicine/Admissions/admissionsrequirements.php" TargetMode="External"/><Relationship Id="rId142" Type="http://schemas.openxmlformats.org/officeDocument/2006/relationships/hyperlink" Target="http://dellmedschool.utexas.edu/prospective-students/selection-criteria" TargetMode="External"/><Relationship Id="rId3" Type="http://schemas.openxmlformats.org/officeDocument/2006/relationships/hyperlink" Target="http://medicine.uams.edu/for-medical-students/catalog/" TargetMode="External"/><Relationship Id="rId12" Type="http://schemas.openxmlformats.org/officeDocument/2006/relationships/hyperlink" Target="http://medschool.ucr.edu/admissions/" TargetMode="External"/><Relationship Id="rId17" Type="http://schemas.openxmlformats.org/officeDocument/2006/relationships/hyperlink" Target="http://medicine.uconn.edu/admissions/applying-to-the-md-or-md-mba-programs/" TargetMode="External"/><Relationship Id="rId25" Type="http://schemas.openxmlformats.org/officeDocument/2006/relationships/hyperlink" Target="http://med.ucf.edu/administrative-offices/student-affairs/admissions/application-requirements/academic-admissions-requirements/" TargetMode="External"/><Relationship Id="rId33" Type="http://schemas.openxmlformats.org/officeDocument/2006/relationships/hyperlink" Target="http://jabsom.hawaii.edu/ed-programs/md-program/admissions-program/" TargetMode="External"/><Relationship Id="rId38" Type="http://schemas.openxmlformats.org/officeDocument/2006/relationships/hyperlink" Target="https://www.rushu.rush.edu/rush-medical-college/doctor-medicine-md-program/admission-requirements" TargetMode="External"/><Relationship Id="rId46" Type="http://schemas.openxmlformats.org/officeDocument/2006/relationships/hyperlink" Target="http://www.lsuhscshreveport.edu/Education/som/admissions/requirements/index" TargetMode="External"/><Relationship Id="rId59" Type="http://schemas.openxmlformats.org/officeDocument/2006/relationships/hyperlink" Target="http://med.umich.edu/medschool/admissions/apply/requirements.html" TargetMode="External"/><Relationship Id="rId67" Type="http://schemas.openxmlformats.org/officeDocument/2006/relationships/hyperlink" Target="https://mdadmissions.wustl.edu/how-to-apply/requirements/" TargetMode="External"/><Relationship Id="rId103" Type="http://schemas.openxmlformats.org/officeDocument/2006/relationships/hyperlink" Target="https://www.drexelmed.edu/Home/Admissions/MDProgram/AdmissionsRequirements.aspx" TargetMode="External"/><Relationship Id="rId108" Type="http://schemas.openxmlformats.org/officeDocument/2006/relationships/hyperlink" Target="https://tcmc.edu/admissions/md-admissions/md-admissions-requirements/" TargetMode="External"/><Relationship Id="rId116" Type="http://schemas.openxmlformats.org/officeDocument/2006/relationships/hyperlink" Target="http://admissions.med.sc.edu/admissions.requirements.asp" TargetMode="External"/><Relationship Id="rId124" Type="http://schemas.openxmlformats.org/officeDocument/2006/relationships/hyperlink" Target="https://medicine.tamhsc.edu/admissions/apply/index.html" TargetMode="External"/><Relationship Id="rId129" Type="http://schemas.openxmlformats.org/officeDocument/2006/relationships/hyperlink" Target="http://som.uthscsa.edu/Admissions/prerequisites.asp" TargetMode="External"/><Relationship Id="rId137" Type="http://schemas.openxmlformats.org/officeDocument/2006/relationships/hyperlink" Target="http://www.uwmedicine.org/Education/MD-Program/Admissions/Applicants/Pages/Pre-med-Course-Requirements.aspx" TargetMode="External"/><Relationship Id="rId20" Type="http://schemas.openxmlformats.org/officeDocument/2006/relationships/hyperlink" Target="https://som.georgetown.edu/prospectivestudents/degrees/md/guide" TargetMode="External"/><Relationship Id="rId41" Type="http://schemas.openxmlformats.org/officeDocument/2006/relationships/hyperlink" Target="http://www.medicine.uic.edu/education/m_d_admissions/requirements_and_timeline" TargetMode="External"/><Relationship Id="rId54" Type="http://schemas.openxmlformats.org/officeDocument/2006/relationships/hyperlink" Target="http://www.usuhs.edu/medschool/pdf/WhatYouNeedtoKnow.pdf" TargetMode="External"/><Relationship Id="rId62" Type="http://schemas.openxmlformats.org/officeDocument/2006/relationships/hyperlink" Target="http://www.mayo.edu/mms/programs/md/admissions-and-application-process/prerequisites" TargetMode="External"/><Relationship Id="rId70" Type="http://schemas.openxmlformats.org/officeDocument/2006/relationships/hyperlink" Target="http://www.ecu.edu/cs-dhs/bsomadmissions/require.cfm" TargetMode="External"/><Relationship Id="rId75" Type="http://schemas.openxmlformats.org/officeDocument/2006/relationships/hyperlink" Target="http://www.unmc.edu/com/prospective/admissions/entrance-requirements.html" TargetMode="External"/><Relationship Id="rId83" Type="http://schemas.openxmlformats.org/officeDocument/2006/relationships/hyperlink" Target="http://www.einstein.yu.edu/education/md-program/admissions/application-procedure/course-requirements.aspx" TargetMode="External"/><Relationship Id="rId88" Type="http://schemas.openxmlformats.org/officeDocument/2006/relationships/hyperlink" Target="http://school.med.nyu.edu/md-admissions/how-apply/admissions-requirements-selection-criteria" TargetMode="External"/><Relationship Id="rId91" Type="http://schemas.openxmlformats.org/officeDocument/2006/relationships/hyperlink" Target="https://medicine.stonybrookmedicine.edu/admissions/requirements" TargetMode="External"/><Relationship Id="rId96" Type="http://schemas.openxmlformats.org/officeDocument/2006/relationships/hyperlink" Target="http://www.neomed.edu/admissions/medicine/direct/pre-requisites-and-requirements" TargetMode="External"/><Relationship Id="rId111" Type="http://schemas.openxmlformats.org/officeDocument/2006/relationships/hyperlink" Target="http://www.sanjuanbautista.edu/Admissions.aspx" TargetMode="External"/><Relationship Id="rId132" Type="http://schemas.openxmlformats.org/officeDocument/2006/relationships/hyperlink" Target="https://www.evms.edu/education/medical_programs/doctor_of_medicine/admissions_criteria/" TargetMode="External"/><Relationship Id="rId140" Type="http://schemas.openxmlformats.org/officeDocument/2006/relationships/hyperlink" Target="https://jcesom.marshall.edu/admissions/" TargetMode="External"/><Relationship Id="rId1" Type="http://schemas.openxmlformats.org/officeDocument/2006/relationships/hyperlink" Target="https://www.uab.edu/medicine/home/future-students/admissions/minimum-requirements-for-consideration" TargetMode="External"/><Relationship Id="rId6" Type="http://schemas.openxmlformats.org/officeDocument/2006/relationships/hyperlink" Target="http://keck.usc.edu/education/md-program/admissions/" TargetMode="External"/><Relationship Id="rId15" Type="http://schemas.openxmlformats.org/officeDocument/2006/relationships/hyperlink" Target="http://www.ucdenver.edu/academics/colleges/medicalschool/education/Admissions/apply/Pages/Requirements.aspx" TargetMode="External"/><Relationship Id="rId23" Type="http://schemas.openxmlformats.org/officeDocument/2006/relationships/hyperlink" Target="http://medicine.fiu.edu/admissions/md/academic-reqs/index.html" TargetMode="External"/><Relationship Id="rId28" Type="http://schemas.openxmlformats.org/officeDocument/2006/relationships/hyperlink" Target="http://health.usf.edu/medicine/mdprogram/mdadmissions/requirements.htm" TargetMode="External"/><Relationship Id="rId36" Type="http://schemas.openxmlformats.org/officeDocument/2006/relationships/hyperlink" Target="http://www.feinberg.northwestern.edu/admissions/process/requirements/" TargetMode="External"/><Relationship Id="rId49" Type="http://schemas.openxmlformats.org/officeDocument/2006/relationships/hyperlink" Target="http://www.bumc.bu.edu/admissions/applicationprocess/requirements/" TargetMode="External"/><Relationship Id="rId57" Type="http://schemas.openxmlformats.org/officeDocument/2006/relationships/hyperlink" Target="http://www.mdadmissions.msu.edu/ApplicationProcess/future/admiss_req.htm" TargetMode="External"/><Relationship Id="rId106" Type="http://schemas.openxmlformats.org/officeDocument/2006/relationships/hyperlink" Target="http://www.med.upenn.edu/admiss/admissions1.html" TargetMode="External"/><Relationship Id="rId114" Type="http://schemas.openxmlformats.org/officeDocument/2006/relationships/hyperlink" Target="https://www.brown.edu/academics/medical/about/info-pages/admission-requirements" TargetMode="External"/><Relationship Id="rId119" Type="http://schemas.openxmlformats.org/officeDocument/2006/relationships/hyperlink" Target="http://www.etsu.edu/com/sa/admissions/requirements/academicreq.aspx" TargetMode="External"/><Relationship Id="rId127" Type="http://schemas.openxmlformats.org/officeDocument/2006/relationships/hyperlink" Target="https://som.utmb.edu/Admissions/admission_requirements.asp" TargetMode="External"/><Relationship Id="rId10" Type="http://schemas.openxmlformats.org/officeDocument/2006/relationships/hyperlink" Target="http://www.meded.uci.edu/admissions/admission-requirements.asp" TargetMode="External"/><Relationship Id="rId31" Type="http://schemas.openxmlformats.org/officeDocument/2006/relationships/hyperlink" Target="http://medicine.mercer.edu/admissions/md/" TargetMode="External"/><Relationship Id="rId44" Type="http://schemas.openxmlformats.org/officeDocument/2006/relationships/hyperlink" Target="http://meded.med.uky.edu/meded-admissions-prerequisites" TargetMode="External"/><Relationship Id="rId52" Type="http://schemas.openxmlformats.org/officeDocument/2006/relationships/hyperlink" Target="http://www.umassmed.edu/som/admissions/application-process/academic-requirements/" TargetMode="External"/><Relationship Id="rId60" Type="http://schemas.openxmlformats.org/officeDocument/2006/relationships/hyperlink" Target="http://admissions.med.wayne.edu/requirements.php" TargetMode="External"/><Relationship Id="rId65" Type="http://schemas.openxmlformats.org/officeDocument/2006/relationships/hyperlink" Target="http://medicine.missouri.edu/admissions/regular.html" TargetMode="External"/><Relationship Id="rId73" Type="http://schemas.openxmlformats.org/officeDocument/2006/relationships/hyperlink" Target="http://www.med.und.edu/student-affairs-admissions/prerequisites.cfm" TargetMode="External"/><Relationship Id="rId78" Type="http://schemas.openxmlformats.org/officeDocument/2006/relationships/hyperlink" Target="http://njms.rutgers.edu/admissions/prospective/apply_requirements.cfm" TargetMode="External"/><Relationship Id="rId81" Type="http://schemas.openxmlformats.org/officeDocument/2006/relationships/hyperlink" Target="http://medicine.nevada.edu/asa/admissions/applicants/selection-factors/course-requirements" TargetMode="External"/><Relationship Id="rId86" Type="http://schemas.openxmlformats.org/officeDocument/2006/relationships/hyperlink" Target="http://icahn.mssm.edu/education/medical-education/programs/md-program/admissions/academic-standards" TargetMode="External"/><Relationship Id="rId94" Type="http://schemas.openxmlformats.org/officeDocument/2006/relationships/hyperlink" Target="http://weill.cornell.edu/education/admissions/app_req.html" TargetMode="External"/><Relationship Id="rId99" Type="http://schemas.openxmlformats.org/officeDocument/2006/relationships/hyperlink" Target="http://www.utoledo.edu/med/md/admissions/index.html" TargetMode="External"/><Relationship Id="rId101" Type="http://schemas.openxmlformats.org/officeDocument/2006/relationships/hyperlink" Target="https://www.oumedicine.com/college-of-medicine/information-about/admissions" TargetMode="External"/><Relationship Id="rId122" Type="http://schemas.openxmlformats.org/officeDocument/2006/relationships/hyperlink" Target="https://medschool.vanderbilt.edu/md-admissions/admissions-process" TargetMode="External"/><Relationship Id="rId130" Type="http://schemas.openxmlformats.org/officeDocument/2006/relationships/hyperlink" Target="http://www.utsouthwestern.edu/education/medical-school/admissions/apply/process/prerequisites.html" TargetMode="External"/><Relationship Id="rId135" Type="http://schemas.openxmlformats.org/officeDocument/2006/relationships/hyperlink" Target="http://medicine.vtc.vt.edu/admissions/academic_requirements/" TargetMode="External"/><Relationship Id="rId143" Type="http://schemas.openxmlformats.org/officeDocument/2006/relationships/hyperlink" Target="http://www.utrgv.edu/school-of-medicine/admissions-and-aid/admissions-requirements/index.htm" TargetMode="External"/><Relationship Id="rId4" Type="http://schemas.openxmlformats.org/officeDocument/2006/relationships/hyperlink" Target="http://medicine.arizona.edu/admissions/key-info/requirements" TargetMode="External"/><Relationship Id="rId9" Type="http://schemas.openxmlformats.org/officeDocument/2006/relationships/hyperlink" Target="http://www.ucdmc.ucdavis.edu/mdprogram/admissions/requirements.html" TargetMode="External"/><Relationship Id="rId13" Type="http://schemas.openxmlformats.org/officeDocument/2006/relationships/hyperlink" Target="https://meded.ucsd.edu/index.cfm/asa/admissions/application_process/" TargetMode="External"/><Relationship Id="rId18" Type="http://schemas.openxmlformats.org/officeDocument/2006/relationships/hyperlink" Target="https://medicine.yale.edu/education/admissions/requirements.aspx" TargetMode="External"/><Relationship Id="rId39" Type="http://schemas.openxmlformats.org/officeDocument/2006/relationships/hyperlink" Target="http://www.siumed.edu/studentaffairs/admissions/requirements.html" TargetMode="External"/><Relationship Id="rId109" Type="http://schemas.openxmlformats.org/officeDocument/2006/relationships/hyperlink" Target="http://www.medadmissions.pitt.edu/admissions-requirements/requirements.php" TargetMode="External"/><Relationship Id="rId34" Type="http://schemas.openxmlformats.org/officeDocument/2006/relationships/hyperlink" Target="http://www.medicine.uiowa.edu/md/requirements/" TargetMode="External"/><Relationship Id="rId50" Type="http://schemas.openxmlformats.org/officeDocument/2006/relationships/hyperlink" Target="http://hms.harvard.edu/content/requirements-admission" TargetMode="External"/><Relationship Id="rId55" Type="http://schemas.openxmlformats.org/officeDocument/2006/relationships/hyperlink" Target="http://medschool.umaryland.edu/admissions/appreq.asp" TargetMode="External"/><Relationship Id="rId76" Type="http://schemas.openxmlformats.org/officeDocument/2006/relationships/hyperlink" Target="http://geiselmed.dartmouth.edu/admissions/admission/" TargetMode="External"/><Relationship Id="rId97" Type="http://schemas.openxmlformats.org/officeDocument/2006/relationships/hyperlink" Target="http://medicine.osu.edu/admissions/md/preparing/pages/index.aspx" TargetMode="External"/><Relationship Id="rId104" Type="http://schemas.openxmlformats.org/officeDocument/2006/relationships/hyperlink" Target="http://www.jefferson.edu/university/skmc/admissions/applying.html" TargetMode="External"/><Relationship Id="rId120" Type="http://schemas.openxmlformats.org/officeDocument/2006/relationships/hyperlink" Target="http://www.mmc.edu/prospectivestudents/admissions/school-of-medicine/index.html" TargetMode="External"/><Relationship Id="rId125" Type="http://schemas.openxmlformats.org/officeDocument/2006/relationships/hyperlink" Target="http://www.ttuhsc.edu/fostersom/admissions/requirements.aspx" TargetMode="External"/><Relationship Id="rId141" Type="http://schemas.openxmlformats.org/officeDocument/2006/relationships/hyperlink" Target="http://medicine.hsc.wvu.edu/students/office-of-admissions/how-to-apply/" TargetMode="External"/><Relationship Id="rId7" Type="http://schemas.openxmlformats.org/officeDocument/2006/relationships/hyperlink" Target="http://medicine.llu.edu/admissions/admissions-requirements" TargetMode="External"/><Relationship Id="rId71" Type="http://schemas.openxmlformats.org/officeDocument/2006/relationships/hyperlink" Target="http://www.med.unc.edu/admit/requirements-1/academic-requirements" TargetMode="External"/><Relationship Id="rId92" Type="http://schemas.openxmlformats.org/officeDocument/2006/relationships/hyperlink" Target="http://medicine.buffalo.edu/education/md/admissions/admission_requirements.html" TargetMode="External"/><Relationship Id="rId2" Type="http://schemas.openxmlformats.org/officeDocument/2006/relationships/hyperlink" Target="http://www.usahealthsystem.com/how-to-apply" TargetMode="External"/><Relationship Id="rId29" Type="http://schemas.openxmlformats.org/officeDocument/2006/relationships/hyperlink" Target="http://med.emory.edu/education/admissions/md/how_to_apply/application_requirements.html" TargetMode="External"/><Relationship Id="rId24" Type="http://schemas.openxmlformats.org/officeDocument/2006/relationships/hyperlink" Target="http://med.fsu.edu/index.cfm?page=mdAdmissions.admissionRequirements" TargetMode="External"/><Relationship Id="rId40" Type="http://schemas.openxmlformats.org/officeDocument/2006/relationships/hyperlink" Target="https://pritzker.uchicago.edu/page/admissions" TargetMode="External"/><Relationship Id="rId45" Type="http://schemas.openxmlformats.org/officeDocument/2006/relationships/hyperlink" Target="http://louisville.edu/medicine/admissions/app-process/complete-prerequisites" TargetMode="External"/><Relationship Id="rId66" Type="http://schemas.openxmlformats.org/officeDocument/2006/relationships/hyperlink" Target="http://med.umkc.edu/md/requirements/" TargetMode="External"/><Relationship Id="rId87" Type="http://schemas.openxmlformats.org/officeDocument/2006/relationships/hyperlink" Target="https://www.nymc.edu/school-of-medicine-som/admissions--financial-aid/how-to-apply/premedical-course-requirements/" TargetMode="External"/><Relationship Id="rId110" Type="http://schemas.openxmlformats.org/officeDocument/2006/relationships/hyperlink" Target="http://www.psm.edu/education/md-program/" TargetMode="External"/><Relationship Id="rId115" Type="http://schemas.openxmlformats.org/officeDocument/2006/relationships/hyperlink" Target="http://academicdepartments.musc.edu/com/admissions/applying_college/" TargetMode="External"/><Relationship Id="rId131" Type="http://schemas.openxmlformats.org/officeDocument/2006/relationships/hyperlink" Target="http://medicine.utah.edu/admissions/begin/premedical.php" TargetMode="External"/><Relationship Id="rId136" Type="http://schemas.openxmlformats.org/officeDocument/2006/relationships/hyperlink" Target="http://www.uvm.edu/medicine/admissions/?Page=requiredcoursework.html&amp;SM=applysubmenu.html" TargetMode="External"/><Relationship Id="rId61" Type="http://schemas.openxmlformats.org/officeDocument/2006/relationships/hyperlink" Target="http://med.wmich.edu/education/students/future-medical-students/application-requirements" TargetMode="External"/><Relationship Id="rId82" Type="http://schemas.openxmlformats.org/officeDocument/2006/relationships/hyperlink" Target="http://www.amc.edu/academic/Undergraduate_Admissions/" TargetMode="External"/><Relationship Id="rId19" Type="http://schemas.openxmlformats.org/officeDocument/2006/relationships/hyperlink" Target="http://smhs.gwu.edu/academics/md-program/admissions/application-process/minimum-eligibility-recommendations-2017-cycle" TargetMode="External"/><Relationship Id="rId14" Type="http://schemas.openxmlformats.org/officeDocument/2006/relationships/hyperlink" Target="http://meded.ucsf.edu/admissions/getting-started" TargetMode="External"/><Relationship Id="rId30" Type="http://schemas.openxmlformats.org/officeDocument/2006/relationships/hyperlink" Target="http://www.gru.edu/mcg/admissions/application/prerequisites.php" TargetMode="External"/><Relationship Id="rId35" Type="http://schemas.openxmlformats.org/officeDocument/2006/relationships/hyperlink" Target="http://www.stritch.luc.edu/admission" TargetMode="External"/><Relationship Id="rId56" Type="http://schemas.openxmlformats.org/officeDocument/2006/relationships/hyperlink" Target="https://www.cmich.edu/colleges/cmed/Education/MDProgram/Admissions/Pages/default.aspx" TargetMode="External"/><Relationship Id="rId77" Type="http://schemas.openxmlformats.org/officeDocument/2006/relationships/hyperlink" Target="http://www.rowan.edu/coopermed/students/admissions/admissionrequirements.php" TargetMode="External"/><Relationship Id="rId100" Type="http://schemas.openxmlformats.org/officeDocument/2006/relationships/hyperlink" Target="http://www.med.wright.edu/admiss/prerequisites" TargetMode="External"/><Relationship Id="rId105" Type="http://schemas.openxmlformats.org/officeDocument/2006/relationships/hyperlink" Target="https://www2.med.psu.edu/mdadmissions/admissions/application-process/admissions-requirements/" TargetMode="External"/><Relationship Id="rId126" Type="http://schemas.openxmlformats.org/officeDocument/2006/relationships/hyperlink" Target="http://www.ttuhsc.edu/som/admissions/req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2"/>
  <sheetViews>
    <sheetView zoomScale="80" zoomScaleNormal="80" workbookViewId="0">
      <pane ySplit="1" topLeftCell="A122" activePane="bottomLeft" state="frozen"/>
      <selection pane="bottomLeft" activeCell="A125" sqref="A125"/>
    </sheetView>
  </sheetViews>
  <sheetFormatPr defaultColWidth="15.140625" defaultRowHeight="15" customHeight="1" x14ac:dyDescent="0.25"/>
  <cols>
    <col min="1" max="1" width="49.85546875" customWidth="1"/>
    <col min="2" max="2" width="8" hidden="1" customWidth="1"/>
    <col min="3" max="3" width="9.140625" hidden="1" customWidth="1"/>
    <col min="4" max="4" width="15.28515625" hidden="1" customWidth="1"/>
    <col min="5" max="5" width="12.140625" hidden="1" customWidth="1"/>
    <col min="6" max="7" width="10.85546875" hidden="1" customWidth="1"/>
    <col min="8" max="8" width="12.85546875" hidden="1" customWidth="1"/>
    <col min="9" max="11" width="12.85546875" style="15" customWidth="1"/>
    <col min="12" max="12" width="15.140625" style="15" customWidth="1"/>
    <col min="13" max="14" width="17.85546875" style="15" customWidth="1"/>
    <col min="15" max="15" width="11.42578125" style="15" customWidth="1"/>
    <col min="16" max="16" width="12" style="15" customWidth="1"/>
    <col min="17" max="17" width="10.28515625" style="15" customWidth="1"/>
    <col min="18" max="18" width="13.7109375" style="15" customWidth="1"/>
    <col min="19" max="19" width="24.28515625" style="15" customWidth="1"/>
    <col min="20" max="20" width="15.7109375" hidden="1" customWidth="1"/>
    <col min="21" max="21" width="10.7109375" customWidth="1"/>
    <col min="22" max="22" width="12.28515625" hidden="1" customWidth="1"/>
    <col min="23" max="23" width="11.140625" hidden="1" customWidth="1"/>
    <col min="24" max="24" width="16.5703125" hidden="1" customWidth="1"/>
    <col min="25" max="25" width="31.5703125" hidden="1" customWidth="1"/>
    <col min="26" max="26" width="46" customWidth="1"/>
    <col min="27" max="35" width="8" customWidth="1"/>
  </cols>
  <sheetData>
    <row r="1" spans="1:35" ht="48" customHeight="1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0" t="s">
        <v>627</v>
      </c>
      <c r="J1" s="20" t="s">
        <v>628</v>
      </c>
      <c r="K1" s="20" t="s">
        <v>632</v>
      </c>
      <c r="L1" s="1" t="s">
        <v>8</v>
      </c>
      <c r="M1" s="1" t="s">
        <v>9</v>
      </c>
      <c r="N1" s="20" t="s">
        <v>182</v>
      </c>
      <c r="O1" s="1" t="s">
        <v>10</v>
      </c>
      <c r="P1" s="1" t="s">
        <v>11</v>
      </c>
      <c r="Q1" s="1" t="s">
        <v>12</v>
      </c>
      <c r="R1" s="20" t="s">
        <v>619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17</v>
      </c>
      <c r="X1" s="1" t="s">
        <v>18</v>
      </c>
      <c r="Y1" s="1" t="s">
        <v>19</v>
      </c>
      <c r="Z1" s="17" t="s">
        <v>614</v>
      </c>
      <c r="AA1" s="2"/>
      <c r="AB1" s="2"/>
      <c r="AC1" s="2"/>
      <c r="AD1" s="2"/>
      <c r="AE1" s="2"/>
      <c r="AF1" s="2"/>
      <c r="AG1" s="2"/>
      <c r="AH1" s="2"/>
      <c r="AI1" s="2"/>
    </row>
    <row r="2" spans="1:35" ht="111.75" customHeight="1" x14ac:dyDescent="0.25">
      <c r="A2" s="4" t="str">
        <f>HYPERLINK("https://www.uab.edu/medicine/home/future-students/admissions/minimum-requirements-for-consideration","University of Alabama School of Medicine")</f>
        <v>University of Alabama School of Medicine</v>
      </c>
      <c r="B2" s="3" t="s">
        <v>20</v>
      </c>
      <c r="C2" s="3" t="s">
        <v>21</v>
      </c>
      <c r="D2" s="3" t="s">
        <v>22</v>
      </c>
      <c r="E2" s="3" t="s">
        <v>23</v>
      </c>
      <c r="F2" s="5" t="s">
        <v>24</v>
      </c>
      <c r="G2" s="5" t="s">
        <v>25</v>
      </c>
      <c r="H2" s="5" t="s">
        <v>26</v>
      </c>
      <c r="I2" s="21" t="s">
        <v>23</v>
      </c>
      <c r="J2" s="21" t="s">
        <v>629</v>
      </c>
      <c r="K2" s="21" t="s">
        <v>44</v>
      </c>
      <c r="L2" s="19" t="s">
        <v>616</v>
      </c>
      <c r="M2" s="15" t="s">
        <v>23</v>
      </c>
      <c r="N2" s="21" t="s">
        <v>631</v>
      </c>
      <c r="O2" s="15" t="s">
        <v>27</v>
      </c>
      <c r="P2" s="19" t="s">
        <v>618</v>
      </c>
      <c r="Q2" s="19" t="s">
        <v>617</v>
      </c>
      <c r="R2" s="19" t="s">
        <v>620</v>
      </c>
      <c r="S2" s="19" t="s">
        <v>621</v>
      </c>
      <c r="T2" s="3" t="s">
        <v>29</v>
      </c>
      <c r="U2" s="3" t="s">
        <v>30</v>
      </c>
      <c r="V2" s="6">
        <v>40909</v>
      </c>
      <c r="W2" s="7">
        <v>80</v>
      </c>
      <c r="X2" s="3" t="s">
        <v>31</v>
      </c>
      <c r="Y2" s="8" t="str">
        <f>HYPERLINK("https://www.uab.edu/medicine/home/future-students/admissions/minimum-requirements-for-consideration","Click Here For Prerequisites")</f>
        <v>Click Here For Prerequisites</v>
      </c>
      <c r="Z2" s="18" t="s">
        <v>615</v>
      </c>
      <c r="AA2" s="9"/>
      <c r="AB2" s="9"/>
      <c r="AC2" s="9"/>
      <c r="AD2" s="9"/>
      <c r="AE2" s="9"/>
      <c r="AF2" s="9"/>
      <c r="AG2" s="9"/>
      <c r="AH2" s="9"/>
      <c r="AI2" s="9"/>
    </row>
    <row r="3" spans="1:35" ht="48" customHeight="1" x14ac:dyDescent="0.25">
      <c r="A3" s="4" t="str">
        <f>HYPERLINK("http://www.usahealthsystem.com/how-to-apply","University of South Alabama College of Medicine")</f>
        <v>University of South Alabama College of Medicine</v>
      </c>
      <c r="B3" s="3" t="s">
        <v>20</v>
      </c>
      <c r="C3" s="3" t="s">
        <v>21</v>
      </c>
      <c r="D3" s="3" t="s">
        <v>22</v>
      </c>
      <c r="E3" s="3" t="s">
        <v>23</v>
      </c>
      <c r="F3" s="5" t="s">
        <v>32</v>
      </c>
      <c r="G3" s="5" t="s">
        <v>33</v>
      </c>
      <c r="H3" s="5" t="s">
        <v>34</v>
      </c>
      <c r="I3" s="21" t="s">
        <v>630</v>
      </c>
      <c r="J3" s="21" t="s">
        <v>630</v>
      </c>
      <c r="K3" s="21" t="s">
        <v>44</v>
      </c>
      <c r="L3" s="19" t="s">
        <v>617</v>
      </c>
      <c r="M3" s="19" t="s">
        <v>23</v>
      </c>
      <c r="N3" s="22" t="s">
        <v>622</v>
      </c>
      <c r="O3" s="15" t="s">
        <v>27</v>
      </c>
      <c r="P3" s="19" t="s">
        <v>617</v>
      </c>
      <c r="Q3" s="15" t="s">
        <v>23</v>
      </c>
      <c r="R3" s="15" t="s">
        <v>27</v>
      </c>
      <c r="S3" s="15" t="s">
        <v>36</v>
      </c>
      <c r="T3" s="3" t="s">
        <v>29</v>
      </c>
      <c r="U3" s="16" t="s">
        <v>623</v>
      </c>
      <c r="V3" s="6">
        <v>41305</v>
      </c>
      <c r="W3" s="7">
        <v>75</v>
      </c>
      <c r="X3" s="3" t="s">
        <v>31</v>
      </c>
      <c r="Y3" s="8" t="str">
        <f>HYPERLINK("http://www.usahealthsystem.com/how-to-apply","Click Here For Prerequisites")</f>
        <v>Click Here For Prerequisites</v>
      </c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ht="46.5" customHeight="1" x14ac:dyDescent="0.25">
      <c r="A4" s="23" t="str">
        <f>HYPERLINK("http://medicine.uams.edu/for-medical-students/catalog/","University of Arkansas College of Medicine")</f>
        <v>University of Arkansas College of Medicine</v>
      </c>
      <c r="B4" s="3" t="s">
        <v>37</v>
      </c>
      <c r="C4" s="3" t="s">
        <v>21</v>
      </c>
      <c r="D4" s="3" t="s">
        <v>22</v>
      </c>
      <c r="E4" s="3" t="s">
        <v>23</v>
      </c>
      <c r="F4" s="5" t="s">
        <v>38</v>
      </c>
      <c r="G4" s="5" t="s">
        <v>39</v>
      </c>
      <c r="H4" s="5" t="s">
        <v>40</v>
      </c>
      <c r="I4" s="21" t="s">
        <v>23</v>
      </c>
      <c r="J4" s="21" t="s">
        <v>630</v>
      </c>
      <c r="K4" s="21" t="s">
        <v>44</v>
      </c>
      <c r="L4" s="19" t="s">
        <v>625</v>
      </c>
      <c r="M4" s="15" t="s">
        <v>41</v>
      </c>
      <c r="N4" s="22" t="s">
        <v>622</v>
      </c>
      <c r="O4" s="19" t="s">
        <v>22</v>
      </c>
      <c r="P4" s="15" t="s">
        <v>23</v>
      </c>
      <c r="Q4" s="19" t="s">
        <v>55</v>
      </c>
      <c r="R4" s="19" t="s">
        <v>27</v>
      </c>
      <c r="S4" s="15" t="s">
        <v>42</v>
      </c>
      <c r="T4" s="3" t="s">
        <v>43</v>
      </c>
      <c r="U4" s="16" t="s">
        <v>624</v>
      </c>
      <c r="V4" s="6">
        <v>41276</v>
      </c>
      <c r="W4" s="7">
        <v>100</v>
      </c>
      <c r="X4" s="3" t="s">
        <v>45</v>
      </c>
      <c r="Y4" s="8" t="str">
        <f>HYPERLINK("http://medicine.uams.edu/files/2013/06/2014_admissions_guide-web.pdf","Click Here For Prerequisites")</f>
        <v>Click Here For Prerequisites</v>
      </c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48" customHeight="1" x14ac:dyDescent="0.25">
      <c r="A5" s="4" t="str">
        <f>HYPERLINK("http://medicine.arizona.edu/admissions/key-info/requirements","University of Arizona College of Medicine")</f>
        <v>University of Arizona College of Medicine</v>
      </c>
      <c r="B5" s="3" t="s">
        <v>46</v>
      </c>
      <c r="C5" s="3" t="s">
        <v>21</v>
      </c>
      <c r="D5" s="3" t="s">
        <v>22</v>
      </c>
      <c r="E5" s="3" t="s">
        <v>23</v>
      </c>
      <c r="F5" s="5" t="s">
        <v>47</v>
      </c>
      <c r="G5" s="5" t="s">
        <v>48</v>
      </c>
      <c r="H5" s="5" t="s">
        <v>49</v>
      </c>
      <c r="I5" s="21" t="s">
        <v>634</v>
      </c>
      <c r="J5" s="21" t="s">
        <v>636</v>
      </c>
      <c r="K5" s="21" t="s">
        <v>633</v>
      </c>
      <c r="L5" s="19" t="s">
        <v>637</v>
      </c>
      <c r="M5" s="15" t="s">
        <v>23</v>
      </c>
      <c r="N5" s="21" t="s">
        <v>634</v>
      </c>
      <c r="O5" s="15" t="s">
        <v>23</v>
      </c>
      <c r="P5" s="15" t="s">
        <v>23</v>
      </c>
      <c r="Q5" s="15" t="s">
        <v>35</v>
      </c>
      <c r="R5" s="15" t="s">
        <v>27</v>
      </c>
      <c r="S5" s="19" t="s">
        <v>635</v>
      </c>
      <c r="T5" s="3" t="s">
        <v>50</v>
      </c>
      <c r="U5" s="3" t="s">
        <v>44</v>
      </c>
      <c r="V5" s="6">
        <v>40909</v>
      </c>
      <c r="W5" s="7">
        <v>75</v>
      </c>
      <c r="X5" s="3" t="s">
        <v>45</v>
      </c>
      <c r="Y5" s="8" t="str">
        <f>HYPERLINK("http://medicine.arizona.edu/admissions/key-info/requirements","Click Here For Prerequisites")</f>
        <v>Click Here For Prerequisites</v>
      </c>
      <c r="Z5" s="18" t="s">
        <v>638</v>
      </c>
      <c r="AA5" s="9"/>
      <c r="AB5" s="9"/>
      <c r="AC5" s="9"/>
      <c r="AD5" s="9"/>
      <c r="AE5" s="9"/>
      <c r="AF5" s="9"/>
      <c r="AG5" s="9"/>
      <c r="AH5" s="9"/>
      <c r="AI5" s="9"/>
    </row>
    <row r="6" spans="1:35" ht="90.75" customHeight="1" x14ac:dyDescent="0.25">
      <c r="A6" s="23" t="str">
        <f>HYPERLINK("http://phoenixmed.arizona.edu/admissions/admission-qualifications/academic-requirements","University of Arizona College of Medicine - Phoenix")</f>
        <v>University of Arizona College of Medicine - Phoenix</v>
      </c>
      <c r="B6" s="3" t="s">
        <v>46</v>
      </c>
      <c r="C6" s="3" t="s">
        <v>21</v>
      </c>
      <c r="D6" s="3" t="s">
        <v>22</v>
      </c>
      <c r="E6" s="3" t="s">
        <v>23</v>
      </c>
      <c r="F6" s="5" t="s">
        <v>51</v>
      </c>
      <c r="G6" s="5" t="s">
        <v>52</v>
      </c>
      <c r="H6" s="5" t="s">
        <v>53</v>
      </c>
      <c r="I6" s="21" t="s">
        <v>55</v>
      </c>
      <c r="J6" s="21" t="s">
        <v>23</v>
      </c>
      <c r="K6" s="21" t="s">
        <v>642</v>
      </c>
      <c r="L6" s="15" t="s">
        <v>22</v>
      </c>
      <c r="M6" s="15" t="s">
        <v>54</v>
      </c>
      <c r="N6" s="19" t="s">
        <v>641</v>
      </c>
      <c r="O6" s="19" t="s">
        <v>55</v>
      </c>
      <c r="P6" s="15" t="s">
        <v>23</v>
      </c>
      <c r="Q6" s="15" t="s">
        <v>23</v>
      </c>
      <c r="R6" s="19" t="s">
        <v>639</v>
      </c>
      <c r="S6" s="19" t="s">
        <v>640</v>
      </c>
      <c r="T6" s="3" t="s">
        <v>50</v>
      </c>
      <c r="U6" s="3" t="s">
        <v>44</v>
      </c>
      <c r="V6" s="6">
        <v>41579</v>
      </c>
      <c r="W6" s="7">
        <v>85</v>
      </c>
      <c r="X6" s="3" t="s">
        <v>45</v>
      </c>
      <c r="Y6" s="8" t="str">
        <f>HYPERLINK("http://phoenixmed.arizona.edu/admissions/admission-qualifications/academic-requirements","Click Here For Prerequisites")</f>
        <v>Click Here For Prerequisites</v>
      </c>
      <c r="Z6" s="18" t="s">
        <v>643</v>
      </c>
      <c r="AA6" s="9"/>
      <c r="AB6" s="9"/>
      <c r="AC6" s="9"/>
      <c r="AD6" s="9"/>
      <c r="AE6" s="9"/>
      <c r="AF6" s="9"/>
      <c r="AG6" s="9"/>
      <c r="AH6" s="9"/>
      <c r="AI6" s="9"/>
    </row>
    <row r="7" spans="1:35" ht="96" customHeight="1" x14ac:dyDescent="0.25">
      <c r="A7" s="23" t="str">
        <f>HYPERLINK("http://keck.usc.edu/About/Administrative_Offices/Office_of_MD_Admissions/Admissions_Process.aspx","Keck School of Medicine of the University of Southern California")</f>
        <v>Keck School of Medicine of the University of Southern California</v>
      </c>
      <c r="B7" s="3" t="s">
        <v>56</v>
      </c>
      <c r="C7" s="3" t="s">
        <v>57</v>
      </c>
      <c r="D7" s="3" t="s">
        <v>22</v>
      </c>
      <c r="E7" s="3" t="s">
        <v>22</v>
      </c>
      <c r="F7" s="5" t="s">
        <v>58</v>
      </c>
      <c r="G7" s="5" t="s">
        <v>59</v>
      </c>
      <c r="H7" s="5" t="s">
        <v>60</v>
      </c>
      <c r="I7" s="21" t="s">
        <v>617</v>
      </c>
      <c r="J7" s="21" t="s">
        <v>617</v>
      </c>
      <c r="K7" s="21" t="s">
        <v>617</v>
      </c>
      <c r="L7" s="19" t="s">
        <v>35</v>
      </c>
      <c r="M7" s="15" t="s">
        <v>23</v>
      </c>
      <c r="N7" s="19" t="s">
        <v>617</v>
      </c>
      <c r="O7" s="15" t="s">
        <v>23</v>
      </c>
      <c r="P7" s="15" t="s">
        <v>23</v>
      </c>
      <c r="Q7" s="15" t="s">
        <v>35</v>
      </c>
      <c r="R7" s="19" t="s">
        <v>617</v>
      </c>
      <c r="S7" s="19" t="s">
        <v>645</v>
      </c>
      <c r="T7" s="3" t="s">
        <v>61</v>
      </c>
      <c r="U7" s="3" t="s">
        <v>28</v>
      </c>
      <c r="V7" s="6">
        <v>41275</v>
      </c>
      <c r="W7" s="7">
        <v>100</v>
      </c>
      <c r="X7" s="3" t="s">
        <v>31</v>
      </c>
      <c r="Y7" s="8" t="str">
        <f>HYPERLINK("http://keck.usc.edu/About/Administrative_Offices/Office_of_MD_Admissions/Admissions_Process.aspx","Click Here For Prerequisites")</f>
        <v>Click Here For Prerequisites</v>
      </c>
      <c r="Z7" s="18" t="s">
        <v>644</v>
      </c>
      <c r="AA7" s="9"/>
      <c r="AB7" s="9"/>
      <c r="AC7" s="9"/>
      <c r="AD7" s="9"/>
      <c r="AE7" s="9"/>
      <c r="AF7" s="9"/>
      <c r="AG7" s="9"/>
      <c r="AH7" s="9"/>
      <c r="AI7" s="9"/>
    </row>
    <row r="8" spans="1:35" ht="63.75" customHeight="1" x14ac:dyDescent="0.25">
      <c r="A8" s="23" t="str">
        <f>HYPERLINK("http://www.llu.edu/medicine/admissions/admissions-requirements.page?","Loma Linda University School of Medicine")</f>
        <v>Loma Linda University School of Medicine</v>
      </c>
      <c r="B8" s="3" t="s">
        <v>56</v>
      </c>
      <c r="C8" s="3" t="s">
        <v>57</v>
      </c>
      <c r="D8" s="3" t="s">
        <v>22</v>
      </c>
      <c r="E8" s="3" t="s">
        <v>22</v>
      </c>
      <c r="F8" s="5" t="s">
        <v>62</v>
      </c>
      <c r="G8" s="5" t="s">
        <v>63</v>
      </c>
      <c r="H8" s="5" t="s">
        <v>64</v>
      </c>
      <c r="I8" s="21" t="s">
        <v>622</v>
      </c>
      <c r="J8" s="21" t="s">
        <v>622</v>
      </c>
      <c r="K8" s="21" t="s">
        <v>622</v>
      </c>
      <c r="L8" s="15" t="s">
        <v>65</v>
      </c>
      <c r="M8" s="15" t="s">
        <v>23</v>
      </c>
      <c r="N8" s="19" t="s">
        <v>622</v>
      </c>
      <c r="O8" s="15" t="s">
        <v>23</v>
      </c>
      <c r="P8" s="15" t="s">
        <v>23</v>
      </c>
      <c r="Q8" s="15" t="s">
        <v>35</v>
      </c>
      <c r="R8" s="19" t="s">
        <v>23</v>
      </c>
      <c r="S8" s="15" t="s">
        <v>66</v>
      </c>
      <c r="T8" s="3" t="s">
        <v>67</v>
      </c>
      <c r="U8" s="3" t="s">
        <v>68</v>
      </c>
      <c r="V8" s="6">
        <v>41275</v>
      </c>
      <c r="W8" s="7">
        <v>85</v>
      </c>
      <c r="X8" s="3" t="s">
        <v>69</v>
      </c>
      <c r="Y8" s="8" t="str">
        <f>HYPERLINK("http://www.llu.edu/medicine/admissions/admissions-requirements.page?","Click Here For Prerequisites")</f>
        <v>Click Here For Prerequisites</v>
      </c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 ht="48" customHeight="1" x14ac:dyDescent="0.25">
      <c r="A9" s="23" t="str">
        <f>HYPERLINK("http://med.stanford.edu/md/admissions/","Stanford University School of Medicine")</f>
        <v>Stanford University School of Medicine</v>
      </c>
      <c r="B9" s="3" t="s">
        <v>56</v>
      </c>
      <c r="C9" s="3" t="s">
        <v>57</v>
      </c>
      <c r="D9" s="3" t="s">
        <v>22</v>
      </c>
      <c r="E9" s="3" t="s">
        <v>22</v>
      </c>
      <c r="F9" s="5" t="s">
        <v>70</v>
      </c>
      <c r="G9" s="5" t="s">
        <v>71</v>
      </c>
      <c r="H9" s="5" t="s">
        <v>72</v>
      </c>
      <c r="I9" s="21" t="s">
        <v>617</v>
      </c>
      <c r="J9" s="21" t="s">
        <v>617</v>
      </c>
      <c r="K9" s="21" t="s">
        <v>617</v>
      </c>
      <c r="L9" s="15" t="s">
        <v>23</v>
      </c>
      <c r="M9" s="15" t="s">
        <v>23</v>
      </c>
      <c r="N9" s="19" t="s">
        <v>617</v>
      </c>
      <c r="O9" s="19" t="s">
        <v>35</v>
      </c>
      <c r="P9" s="15" t="s">
        <v>23</v>
      </c>
      <c r="Q9" s="15" t="s">
        <v>23</v>
      </c>
      <c r="R9" s="19" t="s">
        <v>617</v>
      </c>
      <c r="S9" s="15" t="s">
        <v>73</v>
      </c>
      <c r="T9" s="3" t="s">
        <v>50</v>
      </c>
      <c r="U9" s="3" t="s">
        <v>44</v>
      </c>
      <c r="V9" s="6">
        <v>41122</v>
      </c>
      <c r="W9" s="7">
        <v>85</v>
      </c>
      <c r="X9" s="3" t="s">
        <v>69</v>
      </c>
      <c r="Y9" s="8" t="str">
        <f>HYPERLINK("http://med.stanford.edu/md/admissions/preparation.html","Click Here For Prerequisites")</f>
        <v>Click Here For Prerequisites</v>
      </c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 ht="48" customHeight="1" x14ac:dyDescent="0.25">
      <c r="A10" s="4" t="str">
        <f>HYPERLINK("http://www.ucdmc.ucdavis.edu/mdprogram/admissions/requirements.html","University of California, Davis, School of Medicine")</f>
        <v>University of California, Davis, School of Medicine</v>
      </c>
      <c r="B10" s="3" t="s">
        <v>56</v>
      </c>
      <c r="C10" s="3" t="s">
        <v>21</v>
      </c>
      <c r="D10" s="3" t="s">
        <v>22</v>
      </c>
      <c r="E10" s="3" t="s">
        <v>22</v>
      </c>
      <c r="F10" s="5" t="s">
        <v>74</v>
      </c>
      <c r="G10" s="5" t="s">
        <v>75</v>
      </c>
      <c r="H10" s="5" t="s">
        <v>76</v>
      </c>
      <c r="I10" s="21" t="s">
        <v>27</v>
      </c>
      <c r="J10" s="21" t="s">
        <v>27</v>
      </c>
      <c r="K10" s="21" t="s">
        <v>27</v>
      </c>
      <c r="L10" s="15" t="s">
        <v>23</v>
      </c>
      <c r="M10" s="15" t="s">
        <v>35</v>
      </c>
      <c r="N10" s="21" t="s">
        <v>27</v>
      </c>
      <c r="O10" s="15" t="s">
        <v>35</v>
      </c>
      <c r="P10" s="15" t="s">
        <v>23</v>
      </c>
      <c r="Q10" s="15" t="s">
        <v>23</v>
      </c>
      <c r="R10" s="19" t="s">
        <v>23</v>
      </c>
      <c r="S10" s="15" t="s">
        <v>77</v>
      </c>
      <c r="T10" s="3" t="s">
        <v>50</v>
      </c>
      <c r="U10" s="3" t="s">
        <v>28</v>
      </c>
      <c r="V10" s="6">
        <v>40695</v>
      </c>
      <c r="W10" s="7">
        <v>80</v>
      </c>
      <c r="X10" s="3" t="s">
        <v>31</v>
      </c>
      <c r="Y10" s="8" t="str">
        <f>HYPERLINK("http://www.ucdmc.ucdavis.edu/mdprogram/admissions/requirements.html","Click Here For Prerequisites")</f>
        <v>Click Here For Prerequisites</v>
      </c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 ht="48" customHeight="1" x14ac:dyDescent="0.25">
      <c r="A11" s="23" t="str">
        <f>HYPERLINK("http://www.meded.uci.edu/Admissions/admissions_information.asp","University of California, Irvine School of Medicine")</f>
        <v>University of California, Irvine School of Medicine</v>
      </c>
      <c r="B11" s="3" t="s">
        <v>56</v>
      </c>
      <c r="C11" s="3" t="s">
        <v>21</v>
      </c>
      <c r="D11" s="3" t="s">
        <v>22</v>
      </c>
      <c r="E11" s="3" t="s">
        <v>23</v>
      </c>
      <c r="F11" s="5" t="s">
        <v>78</v>
      </c>
      <c r="G11" s="5" t="s">
        <v>79</v>
      </c>
      <c r="H11" s="5" t="s">
        <v>80</v>
      </c>
      <c r="I11" s="21" t="s">
        <v>27</v>
      </c>
      <c r="J11" s="21" t="s">
        <v>27</v>
      </c>
      <c r="K11" s="21" t="s">
        <v>622</v>
      </c>
      <c r="L11" s="15" t="s">
        <v>81</v>
      </c>
      <c r="M11" s="15" t="s">
        <v>82</v>
      </c>
      <c r="N11" s="21" t="s">
        <v>27</v>
      </c>
      <c r="O11" s="15" t="s">
        <v>23</v>
      </c>
      <c r="P11" s="15" t="s">
        <v>23</v>
      </c>
      <c r="Q11" s="15" t="s">
        <v>23</v>
      </c>
      <c r="R11" s="19" t="s">
        <v>23</v>
      </c>
      <c r="S11" s="15" t="s">
        <v>28</v>
      </c>
      <c r="T11" s="3" t="s">
        <v>83</v>
      </c>
      <c r="U11" s="16" t="s">
        <v>646</v>
      </c>
      <c r="V11" s="6">
        <v>41061</v>
      </c>
      <c r="W11" s="7">
        <v>90</v>
      </c>
      <c r="X11" s="3" t="s">
        <v>31</v>
      </c>
      <c r="Y11" s="8" t="str">
        <f>HYPERLINK("http://www.meded.uci.edu/Admissions/admissions_information.asp","Click Here For Prerequisites")</f>
        <v>Click Here For Prerequisites</v>
      </c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:35" ht="61.5" customHeight="1" x14ac:dyDescent="0.25">
      <c r="A12" s="23" t="str">
        <f>HYPERLINK("http://www.medstudent.ucla.edu/offices/admiss/admreq.cfm","University of California, Los Angeles, David Geffen School of Medicine")</f>
        <v>University of California, Los Angeles, David Geffen School of Medicine</v>
      </c>
      <c r="B12" s="3" t="s">
        <v>56</v>
      </c>
      <c r="C12" s="3" t="s">
        <v>21</v>
      </c>
      <c r="D12" s="3" t="s">
        <v>22</v>
      </c>
      <c r="E12" s="3" t="s">
        <v>22</v>
      </c>
      <c r="F12" s="5" t="s">
        <v>84</v>
      </c>
      <c r="G12" s="5" t="s">
        <v>85</v>
      </c>
      <c r="H12" s="5" t="s">
        <v>86</v>
      </c>
      <c r="I12" s="19" t="s">
        <v>622</v>
      </c>
      <c r="J12" s="19" t="s">
        <v>622</v>
      </c>
      <c r="K12" s="19" t="s">
        <v>622</v>
      </c>
      <c r="L12" s="15" t="s">
        <v>23</v>
      </c>
      <c r="M12" s="15" t="s">
        <v>23</v>
      </c>
      <c r="N12" s="19" t="s">
        <v>622</v>
      </c>
      <c r="O12" s="15" t="s">
        <v>27</v>
      </c>
      <c r="P12" s="15" t="s">
        <v>22</v>
      </c>
      <c r="Q12" s="19" t="s">
        <v>22</v>
      </c>
      <c r="R12" s="19" t="s">
        <v>648</v>
      </c>
      <c r="S12" s="19" t="s">
        <v>647</v>
      </c>
      <c r="T12" s="3" t="s">
        <v>50</v>
      </c>
      <c r="U12" s="3" t="s">
        <v>28</v>
      </c>
      <c r="V12" s="6">
        <v>41275</v>
      </c>
      <c r="W12" s="7">
        <v>70</v>
      </c>
      <c r="X12" s="3" t="s">
        <v>45</v>
      </c>
      <c r="Y12" s="8" t="str">
        <f>HYPERLINK("http://www.medstudent.ucla.edu/offices/admiss/admreq.cfm","Click Here For Prerequisites")</f>
        <v>Click Here For Prerequisites</v>
      </c>
      <c r="Z12" s="18" t="s">
        <v>649</v>
      </c>
      <c r="AA12" s="9"/>
      <c r="AB12" s="9"/>
      <c r="AC12" s="9"/>
      <c r="AD12" s="9"/>
      <c r="AE12" s="9"/>
      <c r="AF12" s="9"/>
      <c r="AG12" s="9"/>
      <c r="AH12" s="9"/>
      <c r="AI12" s="9"/>
    </row>
    <row r="13" spans="1:35" ht="61.5" customHeight="1" x14ac:dyDescent="0.25">
      <c r="A13" s="4" t="str">
        <f>HYPERLINK("http://medschool.ucr.edu/admissions/","University of California, Riverside School of Medicine")</f>
        <v>University of California, Riverside School of Medicine</v>
      </c>
      <c r="B13" s="3" t="s">
        <v>56</v>
      </c>
      <c r="C13" s="3" t="s">
        <v>21</v>
      </c>
      <c r="D13" s="3" t="s">
        <v>22</v>
      </c>
      <c r="E13" s="3" t="s">
        <v>23</v>
      </c>
      <c r="F13" s="5" t="s">
        <v>87</v>
      </c>
      <c r="G13" s="5" t="s">
        <v>88</v>
      </c>
      <c r="H13" s="5" t="s">
        <v>89</v>
      </c>
      <c r="I13" s="19" t="s">
        <v>622</v>
      </c>
      <c r="J13" s="19" t="s">
        <v>622</v>
      </c>
      <c r="K13" s="19" t="s">
        <v>622</v>
      </c>
      <c r="L13" s="19" t="s">
        <v>650</v>
      </c>
      <c r="M13" s="15" t="s">
        <v>23</v>
      </c>
      <c r="N13" s="19" t="s">
        <v>622</v>
      </c>
      <c r="O13" s="15" t="s">
        <v>22</v>
      </c>
      <c r="P13" s="15" t="s">
        <v>22</v>
      </c>
      <c r="Q13" s="19" t="s">
        <v>22</v>
      </c>
      <c r="R13" s="19" t="s">
        <v>648</v>
      </c>
      <c r="S13" s="19" t="s">
        <v>651</v>
      </c>
      <c r="T13" s="3" t="s">
        <v>50</v>
      </c>
      <c r="U13" s="3" t="s">
        <v>90</v>
      </c>
      <c r="V13" s="6">
        <v>40909</v>
      </c>
      <c r="W13" s="7">
        <v>80</v>
      </c>
      <c r="X13" s="3" t="s">
        <v>31</v>
      </c>
      <c r="Y13" s="8" t="str">
        <f>HYPERLINK("http://medschool.ucr.edu/admissions/","Click Here For Prerequisites")</f>
        <v>Click Here For Prerequisites</v>
      </c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ht="31.5" customHeight="1" x14ac:dyDescent="0.25">
      <c r="A14" s="23" t="str">
        <f>HYPERLINK("http://meded.ucsd.edu/index.cfm/asa/admissions/application_process/step_by_step/","University of California, San Diego School of Medicine")</f>
        <v>University of California, San Diego School of Medicine</v>
      </c>
      <c r="B14" s="3" t="s">
        <v>56</v>
      </c>
      <c r="C14" s="3" t="s">
        <v>21</v>
      </c>
      <c r="D14" s="3" t="s">
        <v>22</v>
      </c>
      <c r="E14" s="3" t="s">
        <v>23</v>
      </c>
      <c r="F14" s="5" t="s">
        <v>91</v>
      </c>
      <c r="G14" s="5" t="s">
        <v>92</v>
      </c>
      <c r="H14" s="5" t="s">
        <v>93</v>
      </c>
      <c r="I14" s="21" t="s">
        <v>27</v>
      </c>
      <c r="J14" s="21" t="s">
        <v>27</v>
      </c>
      <c r="K14" s="21" t="s">
        <v>27</v>
      </c>
      <c r="L14" s="19" t="s">
        <v>35</v>
      </c>
      <c r="M14" s="15" t="s">
        <v>23</v>
      </c>
      <c r="N14" s="19" t="s">
        <v>27</v>
      </c>
      <c r="O14" s="19" t="s">
        <v>35</v>
      </c>
      <c r="P14" s="15" t="s">
        <v>23</v>
      </c>
      <c r="Q14" s="15" t="s">
        <v>23</v>
      </c>
      <c r="R14" s="19" t="s">
        <v>23</v>
      </c>
      <c r="S14" s="15" t="s">
        <v>28</v>
      </c>
      <c r="T14" s="3" t="s">
        <v>94</v>
      </c>
      <c r="U14" s="3" t="s">
        <v>44</v>
      </c>
      <c r="V14" s="6">
        <v>41275</v>
      </c>
      <c r="W14" s="7">
        <v>90</v>
      </c>
      <c r="X14" s="3" t="s">
        <v>69</v>
      </c>
      <c r="Y14" s="8" t="str">
        <f>HYPERLINK("http://meded.ucsd.edu/index.cfm/asa/admissions/application_process/step_by_step/","Click Here For Prerequisites")</f>
        <v>Click Here For Prerequisites</v>
      </c>
      <c r="Z14" s="18" t="s">
        <v>652</v>
      </c>
      <c r="AA14" s="9"/>
      <c r="AB14" s="9"/>
      <c r="AC14" s="9"/>
      <c r="AD14" s="9"/>
      <c r="AE14" s="9"/>
      <c r="AF14" s="9"/>
      <c r="AG14" s="9"/>
      <c r="AH14" s="9"/>
      <c r="AI14" s="9"/>
    </row>
    <row r="15" spans="1:35" ht="48" customHeight="1" x14ac:dyDescent="0.25">
      <c r="A15" s="4" t="str">
        <f>HYPERLINK("http://meded.ucsf.edu/admissions/getting-started","University of California, San Francisco School of Medicine")</f>
        <v>University of California, San Francisco School of Medicine</v>
      </c>
      <c r="B15" s="3" t="s">
        <v>56</v>
      </c>
      <c r="C15" s="3" t="s">
        <v>21</v>
      </c>
      <c r="D15" s="3" t="s">
        <v>22</v>
      </c>
      <c r="E15" s="3" t="s">
        <v>22</v>
      </c>
      <c r="F15" s="5" t="s">
        <v>95</v>
      </c>
      <c r="G15" s="5" t="s">
        <v>96</v>
      </c>
      <c r="H15" s="5" t="s">
        <v>97</v>
      </c>
      <c r="I15" s="21" t="s">
        <v>622</v>
      </c>
      <c r="J15" s="21" t="s">
        <v>653</v>
      </c>
      <c r="K15" s="21" t="s">
        <v>654</v>
      </c>
      <c r="L15" s="15" t="s">
        <v>23</v>
      </c>
      <c r="M15" s="15" t="s">
        <v>35</v>
      </c>
      <c r="N15" s="19" t="s">
        <v>622</v>
      </c>
      <c r="O15" s="15" t="s">
        <v>35</v>
      </c>
      <c r="P15" s="15" t="s">
        <v>23</v>
      </c>
      <c r="Q15" s="15" t="s">
        <v>23</v>
      </c>
      <c r="R15" s="19" t="s">
        <v>617</v>
      </c>
      <c r="S15" s="19" t="s">
        <v>655</v>
      </c>
      <c r="T15" s="3" t="s">
        <v>29</v>
      </c>
      <c r="U15" s="16" t="s">
        <v>656</v>
      </c>
      <c r="V15" s="6">
        <v>41275</v>
      </c>
      <c r="W15" s="7">
        <v>80</v>
      </c>
      <c r="X15" s="3" t="s">
        <v>31</v>
      </c>
      <c r="Y15" s="8" t="str">
        <f>HYPERLINK("http://meded.ucsf.edu/admissions/getting-started","Click Here For Prerequisites")</f>
        <v>Click Here For Prerequisites</v>
      </c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:35" ht="52.5" customHeight="1" x14ac:dyDescent="0.25">
      <c r="A16" s="4" t="str">
        <f>HYPERLINK("http://www.ucdenver.edu/academics/colleges/medicalschool/education/Admissions/apply/Pages/Requirements.aspx","University of Colorado School of Medicine")</f>
        <v>University of Colorado School of Medicine</v>
      </c>
      <c r="B16" s="3" t="s">
        <v>98</v>
      </c>
      <c r="C16" s="3" t="s">
        <v>21</v>
      </c>
      <c r="D16" s="3" t="s">
        <v>22</v>
      </c>
      <c r="E16" s="3" t="s">
        <v>22</v>
      </c>
      <c r="F16" s="5" t="s">
        <v>99</v>
      </c>
      <c r="G16" s="5" t="s">
        <v>100</v>
      </c>
      <c r="H16" s="5" t="s">
        <v>101</v>
      </c>
      <c r="I16" s="21" t="s">
        <v>622</v>
      </c>
      <c r="J16" s="21" t="s">
        <v>622</v>
      </c>
      <c r="K16" s="21" t="s">
        <v>622</v>
      </c>
      <c r="L16" s="19" t="s">
        <v>35</v>
      </c>
      <c r="M16" s="19" t="s">
        <v>126</v>
      </c>
      <c r="N16" s="21" t="s">
        <v>622</v>
      </c>
      <c r="O16" s="19" t="s">
        <v>27</v>
      </c>
      <c r="P16" s="15" t="s">
        <v>23</v>
      </c>
      <c r="Q16" s="15" t="s">
        <v>23</v>
      </c>
      <c r="R16" s="19" t="s">
        <v>657</v>
      </c>
      <c r="S16" s="19" t="s">
        <v>658</v>
      </c>
      <c r="T16" s="3" t="s">
        <v>67</v>
      </c>
      <c r="U16" s="16" t="s">
        <v>659</v>
      </c>
      <c r="V16" s="6">
        <v>41276</v>
      </c>
      <c r="W16" s="7">
        <v>100</v>
      </c>
      <c r="X16" s="3" t="s">
        <v>31</v>
      </c>
      <c r="Y16" s="8" t="str">
        <f>HYPERLINK("http://www.ucdenver.edu/academics/colleges/medicalschool/education/Admissions/apply/Pages/Requirements.aspx","Click Here For Prerequisites")</f>
        <v>Click Here For Prerequisites</v>
      </c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:35" ht="31.5" customHeight="1" x14ac:dyDescent="0.25">
      <c r="A17" s="4" t="str">
        <f>HYPERLINK("http://www.quinnipiac.edu/academics/colleges-schools-and-departments/school-of-medicine/admissions/academic-requirements/","Frank H. Netter School of Medicine")</f>
        <v>Frank H. Netter School of Medicine</v>
      </c>
      <c r="B17" s="3" t="s">
        <v>103</v>
      </c>
      <c r="C17" s="3" t="s">
        <v>57</v>
      </c>
      <c r="D17" s="3" t="s">
        <v>22</v>
      </c>
      <c r="E17" s="3" t="s">
        <v>23</v>
      </c>
      <c r="F17" s="5" t="s">
        <v>104</v>
      </c>
      <c r="G17" s="5" t="s">
        <v>105</v>
      </c>
      <c r="H17" s="5" t="s">
        <v>106</v>
      </c>
      <c r="I17" s="21" t="s">
        <v>622</v>
      </c>
      <c r="J17" s="21" t="s">
        <v>622</v>
      </c>
      <c r="K17" s="21" t="s">
        <v>622</v>
      </c>
      <c r="L17" s="15" t="s">
        <v>23</v>
      </c>
      <c r="M17" s="15" t="s">
        <v>23</v>
      </c>
      <c r="N17" s="19" t="s">
        <v>27</v>
      </c>
      <c r="O17" s="19" t="s">
        <v>27</v>
      </c>
      <c r="P17" s="15" t="s">
        <v>23</v>
      </c>
      <c r="Q17" s="15" t="s">
        <v>23</v>
      </c>
      <c r="R17" s="19" t="s">
        <v>27</v>
      </c>
      <c r="S17" s="15" t="s">
        <v>28</v>
      </c>
      <c r="T17" s="3" t="s">
        <v>107</v>
      </c>
      <c r="U17" s="3" t="s">
        <v>44</v>
      </c>
      <c r="V17" s="6">
        <v>41300</v>
      </c>
      <c r="W17" s="7">
        <v>100</v>
      </c>
      <c r="X17" s="3" t="s">
        <v>31</v>
      </c>
      <c r="Y17" s="8" t="str">
        <f>HYPERLINK("http://www.quinnipiac.edu/academics/colleges-schools-and-departments/school-of-medicine/admissions/academic-requirements/","Click Here For Prerequisites")</f>
        <v>Click Here For Prerequisites</v>
      </c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:35" ht="60" customHeight="1" x14ac:dyDescent="0.25">
      <c r="A18" s="23" t="str">
        <f>HYPERLINK("http://medicine.uchc.edu/prospective/apply/index.html","University of Connecticut School of Medicine")</f>
        <v>University of Connecticut School of Medicine</v>
      </c>
      <c r="B18" s="3" t="s">
        <v>103</v>
      </c>
      <c r="C18" s="3" t="s">
        <v>21</v>
      </c>
      <c r="D18" s="3" t="s">
        <v>22</v>
      </c>
      <c r="E18" s="3" t="s">
        <v>22</v>
      </c>
      <c r="F18" s="5" t="s">
        <v>108</v>
      </c>
      <c r="G18" s="5" t="s">
        <v>109</v>
      </c>
      <c r="H18" s="5" t="s">
        <v>110</v>
      </c>
      <c r="I18" s="21" t="s">
        <v>622</v>
      </c>
      <c r="J18" s="21" t="s">
        <v>661</v>
      </c>
      <c r="K18" s="21" t="s">
        <v>622</v>
      </c>
      <c r="L18" s="19" t="s">
        <v>35</v>
      </c>
      <c r="M18" s="19" t="s">
        <v>663</v>
      </c>
      <c r="N18" s="21" t="s">
        <v>622</v>
      </c>
      <c r="O18" s="15" t="s">
        <v>23</v>
      </c>
      <c r="P18" s="15" t="s">
        <v>23</v>
      </c>
      <c r="Q18" s="15" t="s">
        <v>23</v>
      </c>
      <c r="R18" s="19" t="s">
        <v>660</v>
      </c>
      <c r="S18" s="19" t="s">
        <v>111</v>
      </c>
      <c r="T18" s="3" t="s">
        <v>112</v>
      </c>
      <c r="U18" s="3" t="s">
        <v>28</v>
      </c>
      <c r="V18" s="6">
        <v>40909</v>
      </c>
      <c r="W18" s="7">
        <v>85</v>
      </c>
      <c r="X18" s="3" t="s">
        <v>31</v>
      </c>
      <c r="Y18" s="8" t="str">
        <f>HYPERLINK("http://medicine.uchc.edu/prospective/apply/index.html","Click Here For Prerequisites")</f>
        <v>Click Here For Prerequisites</v>
      </c>
      <c r="Z18" s="18" t="s">
        <v>662</v>
      </c>
      <c r="AA18" s="9"/>
      <c r="AB18" s="9"/>
      <c r="AC18" s="9"/>
      <c r="AD18" s="9"/>
      <c r="AE18" s="9"/>
      <c r="AF18" s="9"/>
      <c r="AG18" s="9"/>
      <c r="AH18" s="9"/>
      <c r="AI18" s="9"/>
    </row>
    <row r="19" spans="1:35" ht="31.5" customHeight="1" x14ac:dyDescent="0.25">
      <c r="A19" s="23" t="str">
        <f>HYPERLINK("http://medicine.yale.edu/education/admissions/apply/premed.aspx","Yale University School of Medicine")</f>
        <v>Yale University School of Medicine</v>
      </c>
      <c r="B19" s="3" t="s">
        <v>103</v>
      </c>
      <c r="C19" s="3" t="s">
        <v>57</v>
      </c>
      <c r="D19" s="3" t="s">
        <v>22</v>
      </c>
      <c r="E19" s="3" t="s">
        <v>22</v>
      </c>
      <c r="F19" s="5" t="s">
        <v>113</v>
      </c>
      <c r="G19" s="5" t="s">
        <v>114</v>
      </c>
      <c r="H19" s="5" t="s">
        <v>115</v>
      </c>
      <c r="I19" s="21" t="s">
        <v>622</v>
      </c>
      <c r="J19" s="21" t="s">
        <v>626</v>
      </c>
      <c r="K19" s="21" t="s">
        <v>622</v>
      </c>
      <c r="L19" s="15" t="s">
        <v>22</v>
      </c>
      <c r="M19" s="15" t="s">
        <v>23</v>
      </c>
      <c r="N19" s="21" t="s">
        <v>622</v>
      </c>
      <c r="O19" s="15" t="s">
        <v>23</v>
      </c>
      <c r="P19" s="15" t="s">
        <v>23</v>
      </c>
      <c r="Q19" s="15" t="s">
        <v>23</v>
      </c>
      <c r="R19" s="19" t="s">
        <v>23</v>
      </c>
      <c r="S19" s="15" t="s">
        <v>28</v>
      </c>
      <c r="T19" s="3" t="s">
        <v>116</v>
      </c>
      <c r="U19" s="3" t="s">
        <v>28</v>
      </c>
      <c r="V19" s="6">
        <v>40935</v>
      </c>
      <c r="W19" s="7">
        <v>95</v>
      </c>
      <c r="X19" s="3" t="s">
        <v>69</v>
      </c>
      <c r="Y19" s="8" t="str">
        <f>HYPERLINK("http://medicine.yale.edu/education/admissions/apply/premed.aspx","Click Here For Prerequisites")</f>
        <v>Click Here For Prerequisites</v>
      </c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31.5" customHeight="1" x14ac:dyDescent="0.25">
      <c r="A20" s="23" t="str">
        <f>HYPERLINK("http://smhs.gwu.edu/mdprograms/admissions/faqs/index.html#WhatarethecourserequirementsforadmissiontoGWMedicalSchool","George Washington University School of Medicine and Health Sciences")</f>
        <v>George Washington University School of Medicine and Health Sciences</v>
      </c>
      <c r="B20" s="3" t="s">
        <v>117</v>
      </c>
      <c r="C20" s="3" t="s">
        <v>57</v>
      </c>
      <c r="D20" s="3" t="s">
        <v>22</v>
      </c>
      <c r="E20" s="3" t="s">
        <v>22</v>
      </c>
      <c r="F20" s="5" t="s">
        <v>118</v>
      </c>
      <c r="G20" s="5" t="s">
        <v>119</v>
      </c>
      <c r="H20" s="5" t="s">
        <v>120</v>
      </c>
      <c r="I20" s="21" t="s">
        <v>27</v>
      </c>
      <c r="J20" s="21" t="s">
        <v>664</v>
      </c>
      <c r="K20" s="21" t="s">
        <v>27</v>
      </c>
      <c r="L20" s="15" t="s">
        <v>23</v>
      </c>
      <c r="M20" s="15" t="s">
        <v>23</v>
      </c>
      <c r="N20" s="19" t="s">
        <v>55</v>
      </c>
      <c r="O20" s="15" t="s">
        <v>23</v>
      </c>
      <c r="P20" s="15" t="s">
        <v>23</v>
      </c>
      <c r="Q20" s="15" t="s">
        <v>23</v>
      </c>
      <c r="R20" s="19" t="s">
        <v>23</v>
      </c>
      <c r="S20" s="19" t="s">
        <v>666</v>
      </c>
      <c r="T20" s="3" t="s">
        <v>121</v>
      </c>
      <c r="U20" s="3" t="s">
        <v>44</v>
      </c>
      <c r="V20" s="6">
        <v>41366</v>
      </c>
      <c r="W20" s="7">
        <v>125</v>
      </c>
      <c r="X20" s="3" t="s">
        <v>122</v>
      </c>
      <c r="Y20" s="8" t="str">
        <f>HYPERLINK("http://smhs.gwu.edu/academics/md/admissions/apply/faq#WhatarethecourserequirementsforadmissiontoGWMedicalSchool","Click Here For Prerequisites")</f>
        <v>Click Here For Prerequisites</v>
      </c>
      <c r="Z20" s="18" t="s">
        <v>665</v>
      </c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31.5" customHeight="1" x14ac:dyDescent="0.25">
      <c r="A21" s="23" t="str">
        <f>HYPERLINK("https://georgetown.app.box.com/s/1qg8bh8vya2j3s2k8r7c","Georgetown University School of Medicine")</f>
        <v>Georgetown University School of Medicine</v>
      </c>
      <c r="B21" s="3" t="s">
        <v>117</v>
      </c>
      <c r="C21" s="3" t="s">
        <v>57</v>
      </c>
      <c r="D21" s="3" t="s">
        <v>22</v>
      </c>
      <c r="E21" s="3" t="s">
        <v>22</v>
      </c>
      <c r="F21" s="5" t="s">
        <v>123</v>
      </c>
      <c r="G21" s="5" t="s">
        <v>124</v>
      </c>
      <c r="H21" s="5" t="s">
        <v>125</v>
      </c>
      <c r="I21" s="19" t="s">
        <v>622</v>
      </c>
      <c r="J21" s="19" t="s">
        <v>668</v>
      </c>
      <c r="K21" s="19" t="s">
        <v>622</v>
      </c>
      <c r="L21" s="19" t="s">
        <v>667</v>
      </c>
      <c r="M21" s="15" t="s">
        <v>126</v>
      </c>
      <c r="N21" s="19" t="s">
        <v>622</v>
      </c>
      <c r="O21" s="15" t="s">
        <v>65</v>
      </c>
      <c r="P21" s="15" t="s">
        <v>23</v>
      </c>
      <c r="Q21" s="15" t="s">
        <v>23</v>
      </c>
      <c r="R21" s="19" t="s">
        <v>23</v>
      </c>
      <c r="S21" s="19" t="s">
        <v>23</v>
      </c>
      <c r="T21" s="3" t="s">
        <v>107</v>
      </c>
      <c r="U21" s="3" t="s">
        <v>44</v>
      </c>
      <c r="V21" s="6">
        <v>41275</v>
      </c>
      <c r="W21" s="7">
        <v>130</v>
      </c>
      <c r="X21" s="3" t="s">
        <v>69</v>
      </c>
      <c r="Y21" s="8" t="str">
        <f>HYPERLINK("https://georgetown.app.box.com/s/1qg8bh8vya2j3s2k8r7c","Click Here For Prerequisites")</f>
        <v>Click Here For Prerequisites</v>
      </c>
      <c r="Z21" s="16" t="s">
        <v>669</v>
      </c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96" customHeight="1" x14ac:dyDescent="0.25">
      <c r="A22" s="23" t="str">
        <f>HYPERLINK("http://healthsciences.howard.edu/education/schools-and-academics/medicine/admissions/requirements%20and%20procedures","Howard University College of Medicine")</f>
        <v>Howard University College of Medicine</v>
      </c>
      <c r="B22" s="3" t="s">
        <v>117</v>
      </c>
      <c r="C22" s="3" t="s">
        <v>57</v>
      </c>
      <c r="D22" s="3" t="s">
        <v>22</v>
      </c>
      <c r="E22" s="3" t="s">
        <v>22</v>
      </c>
      <c r="F22" s="5" t="s">
        <v>127</v>
      </c>
      <c r="G22" s="5" t="s">
        <v>128</v>
      </c>
      <c r="H22" s="5" t="s">
        <v>129</v>
      </c>
      <c r="I22" s="19" t="s">
        <v>622</v>
      </c>
      <c r="J22" s="19" t="s">
        <v>622</v>
      </c>
      <c r="K22" s="19" t="s">
        <v>622</v>
      </c>
      <c r="L22" s="15" t="s">
        <v>35</v>
      </c>
      <c r="M22" s="15" t="s">
        <v>126</v>
      </c>
      <c r="N22" s="19" t="s">
        <v>622</v>
      </c>
      <c r="O22" s="19" t="s">
        <v>670</v>
      </c>
      <c r="P22" s="15" t="s">
        <v>23</v>
      </c>
      <c r="Q22" s="15" t="s">
        <v>23</v>
      </c>
      <c r="R22" s="19" t="s">
        <v>670</v>
      </c>
      <c r="S22" s="19" t="s">
        <v>671</v>
      </c>
      <c r="T22" s="3" t="s">
        <v>107</v>
      </c>
      <c r="U22" s="3" t="s">
        <v>130</v>
      </c>
      <c r="V22" s="6">
        <v>41152</v>
      </c>
      <c r="W22" s="3" t="s">
        <v>131</v>
      </c>
      <c r="X22" s="3" t="s">
        <v>31</v>
      </c>
      <c r="Y22" s="8" t="str">
        <f>HYPERLINK("http://healthsciences.howard.edu/education/schools-and-academics/medicine/admissions/requirements%20and%20procedures","Click Here For Prerequisites")</f>
        <v>Click Here For Prerequisites</v>
      </c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:35" ht="63.75" customHeight="1" x14ac:dyDescent="0.25">
      <c r="A23" s="23" t="str">
        <f>HYPERLINK("http://med.fau.edu/admissions/index.php#PRE-REQUISITES","Florida Atlantic University Charles E. Schmidt College of Medicine")</f>
        <v>Florida Atlantic University Charles E. Schmidt College of Medicine</v>
      </c>
      <c r="B23" s="3" t="s">
        <v>132</v>
      </c>
      <c r="C23" s="3" t="s">
        <v>21</v>
      </c>
      <c r="D23" s="3" t="s">
        <v>22</v>
      </c>
      <c r="E23" s="3" t="s">
        <v>23</v>
      </c>
      <c r="F23" s="5" t="s">
        <v>133</v>
      </c>
      <c r="G23" s="5" t="s">
        <v>134</v>
      </c>
      <c r="H23" s="5" t="s">
        <v>135</v>
      </c>
      <c r="I23" s="19" t="s">
        <v>622</v>
      </c>
      <c r="J23" s="19" t="s">
        <v>668</v>
      </c>
      <c r="K23" s="19" t="s">
        <v>622</v>
      </c>
      <c r="L23" s="15" t="s">
        <v>35</v>
      </c>
      <c r="M23" s="19" t="s">
        <v>674</v>
      </c>
      <c r="N23" s="19" t="s">
        <v>622</v>
      </c>
      <c r="O23" s="19" t="s">
        <v>670</v>
      </c>
      <c r="P23" s="15" t="s">
        <v>35</v>
      </c>
      <c r="Q23" s="15" t="s">
        <v>23</v>
      </c>
      <c r="R23" s="19" t="s">
        <v>672</v>
      </c>
      <c r="T23" s="3" t="s">
        <v>136</v>
      </c>
      <c r="U23" s="3" t="s">
        <v>44</v>
      </c>
      <c r="V23" s="6">
        <v>40939</v>
      </c>
      <c r="W23" s="7">
        <v>30</v>
      </c>
      <c r="X23" s="3" t="s">
        <v>45</v>
      </c>
      <c r="Y23" s="8" t="str">
        <f>HYPERLINK("http://med.fau.edu/admissions/index.php#PRE-REQUISITES","Click Here For Prerequisites")</f>
        <v>Click Here For Prerequisites</v>
      </c>
      <c r="Z23" s="11" t="s">
        <v>673</v>
      </c>
      <c r="AA23" s="9"/>
      <c r="AB23" s="9"/>
      <c r="AC23" s="9"/>
      <c r="AD23" s="9"/>
      <c r="AE23" s="9"/>
      <c r="AF23" s="9"/>
      <c r="AG23" s="9"/>
      <c r="AH23" s="9"/>
      <c r="AI23" s="9"/>
    </row>
    <row r="24" spans="1:35" ht="66" customHeight="1" x14ac:dyDescent="0.25">
      <c r="A24" s="4" t="str">
        <f>HYPERLINK("http://medicine.fiu.edu/admissions/md/academic-reqs/index.html","Florida International University Herbert Wertheim College of Medicine")</f>
        <v>Florida International University Herbert Wertheim College of Medicine</v>
      </c>
      <c r="B24" s="3" t="s">
        <v>132</v>
      </c>
      <c r="C24" s="3" t="s">
        <v>21</v>
      </c>
      <c r="D24" s="3" t="s">
        <v>22</v>
      </c>
      <c r="E24" s="3" t="s">
        <v>23</v>
      </c>
      <c r="F24" s="5" t="s">
        <v>137</v>
      </c>
      <c r="G24" s="5" t="s">
        <v>138</v>
      </c>
      <c r="H24" s="5" t="s">
        <v>139</v>
      </c>
      <c r="I24" s="19" t="s">
        <v>622</v>
      </c>
      <c r="J24" s="19" t="s">
        <v>622</v>
      </c>
      <c r="K24" s="19" t="s">
        <v>622</v>
      </c>
      <c r="L24" s="15" t="s">
        <v>35</v>
      </c>
      <c r="M24" s="19" t="s">
        <v>676</v>
      </c>
      <c r="N24" s="19" t="s">
        <v>622</v>
      </c>
      <c r="O24" s="19" t="s">
        <v>670</v>
      </c>
      <c r="P24" s="15" t="s">
        <v>23</v>
      </c>
      <c r="Q24" s="15" t="s">
        <v>35</v>
      </c>
      <c r="R24" s="19" t="s">
        <v>675</v>
      </c>
      <c r="S24" s="19" t="s">
        <v>677</v>
      </c>
      <c r="T24" s="3" t="s">
        <v>140</v>
      </c>
      <c r="U24" s="3" t="s">
        <v>44</v>
      </c>
      <c r="V24" s="6">
        <v>41275</v>
      </c>
      <c r="W24" s="7">
        <v>30</v>
      </c>
      <c r="X24" s="3" t="s">
        <v>31</v>
      </c>
      <c r="Y24" s="8" t="str">
        <f>HYPERLINK("http://medicine.fiu.edu/admissions/md/academic-reqs/index.html","Click Here For Prerequisites")</f>
        <v>Click Here For Prerequisites</v>
      </c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:35" ht="31.5" customHeight="1" x14ac:dyDescent="0.25">
      <c r="A25" s="23" t="str">
        <f>HYPERLINK("http://med.fsu.edu/?page=mdAdmissions.admissionRequirements#prereq","Florida State University")</f>
        <v>Florida State University</v>
      </c>
      <c r="B25" s="3" t="s">
        <v>132</v>
      </c>
      <c r="C25" s="3" t="s">
        <v>21</v>
      </c>
      <c r="D25" s="3" t="s">
        <v>22</v>
      </c>
      <c r="E25" s="3" t="s">
        <v>23</v>
      </c>
      <c r="F25" s="5" t="s">
        <v>141</v>
      </c>
      <c r="G25" s="5" t="s">
        <v>142</v>
      </c>
      <c r="H25" s="5" t="s">
        <v>143</v>
      </c>
      <c r="I25" s="19" t="s">
        <v>622</v>
      </c>
      <c r="J25" s="21" t="s">
        <v>626</v>
      </c>
      <c r="K25" s="21" t="s">
        <v>622</v>
      </c>
      <c r="L25" s="15" t="s">
        <v>22</v>
      </c>
      <c r="M25" s="19" t="s">
        <v>126</v>
      </c>
      <c r="N25" s="19" t="s">
        <v>622</v>
      </c>
      <c r="O25" s="19" t="s">
        <v>27</v>
      </c>
      <c r="P25" s="15" t="s">
        <v>23</v>
      </c>
      <c r="Q25" s="15" t="s">
        <v>35</v>
      </c>
      <c r="R25" s="19" t="s">
        <v>678</v>
      </c>
      <c r="S25" s="19" t="s">
        <v>679</v>
      </c>
      <c r="T25" s="3" t="s">
        <v>144</v>
      </c>
      <c r="U25" s="3" t="s">
        <v>44</v>
      </c>
      <c r="V25" s="6">
        <v>41030</v>
      </c>
      <c r="W25" s="7">
        <v>0</v>
      </c>
      <c r="X25" s="3" t="s">
        <v>31</v>
      </c>
      <c r="Y25" s="8" t="str">
        <f>HYPERLINK("http://med.fsu.edu/?page=mdAdmissions.admissionRequirements#prereq","Click Here For Prerequisites")</f>
        <v>Click Here For Prerequisites</v>
      </c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:35" ht="143.25" customHeight="1" x14ac:dyDescent="0.25">
      <c r="A26" s="4" t="str">
        <f>HYPERLINK("http://med.ucf.edu/administrative-offices/student-affairs/admissions/application-requirements/academic-admissions-requirements/","University of Central Florida College of Medicine")</f>
        <v>University of Central Florida College of Medicine</v>
      </c>
      <c r="B26" s="3" t="s">
        <v>132</v>
      </c>
      <c r="C26" s="3" t="s">
        <v>21</v>
      </c>
      <c r="D26" s="3" t="s">
        <v>22</v>
      </c>
      <c r="E26" s="3" t="s">
        <v>23</v>
      </c>
      <c r="F26" s="5" t="s">
        <v>145</v>
      </c>
      <c r="G26" s="5" t="s">
        <v>146</v>
      </c>
      <c r="H26" s="5" t="s">
        <v>147</v>
      </c>
      <c r="I26" s="19" t="s">
        <v>622</v>
      </c>
      <c r="J26" s="19" t="s">
        <v>622</v>
      </c>
      <c r="K26" s="19" t="s">
        <v>622</v>
      </c>
      <c r="L26" s="15" t="s">
        <v>35</v>
      </c>
      <c r="M26" s="19" t="s">
        <v>681</v>
      </c>
      <c r="N26" s="19" t="s">
        <v>622</v>
      </c>
      <c r="O26" s="19" t="s">
        <v>27</v>
      </c>
      <c r="P26" s="15" t="s">
        <v>35</v>
      </c>
      <c r="Q26" s="15" t="s">
        <v>35</v>
      </c>
      <c r="R26" s="19" t="s">
        <v>680</v>
      </c>
      <c r="S26" s="19" t="s">
        <v>682</v>
      </c>
      <c r="T26" s="3" t="s">
        <v>148</v>
      </c>
      <c r="U26" s="3" t="s">
        <v>44</v>
      </c>
      <c r="V26" s="6">
        <v>41298</v>
      </c>
      <c r="W26" s="7">
        <v>30</v>
      </c>
      <c r="X26" s="3" t="s">
        <v>69</v>
      </c>
      <c r="Y26" s="8" t="str">
        <f>HYPERLINK("http://med.ucf.edu/administrative-offices/student-affairs/admissions/application-requirements/academic-admissions-requirements/","Click Here For Prerequisites")</f>
        <v>Click Here For Prerequisites</v>
      </c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:35" ht="68.25" customHeight="1" x14ac:dyDescent="0.25">
      <c r="A27" s="4" t="str">
        <f>HYPERLINK("http://admissions.med.ufl.edu/admission-requirements/regular-admission-requirements/","University of Florida College of Medicine")</f>
        <v>University of Florida College of Medicine</v>
      </c>
      <c r="B27" s="3" t="s">
        <v>132</v>
      </c>
      <c r="C27" s="3" t="s">
        <v>21</v>
      </c>
      <c r="D27" s="3" t="s">
        <v>22</v>
      </c>
      <c r="E27" s="3" t="s">
        <v>23</v>
      </c>
      <c r="F27" s="5" t="s">
        <v>149</v>
      </c>
      <c r="G27" s="5" t="s">
        <v>150</v>
      </c>
      <c r="H27" s="5" t="s">
        <v>151</v>
      </c>
      <c r="I27" s="19" t="s">
        <v>622</v>
      </c>
      <c r="J27" s="19" t="s">
        <v>626</v>
      </c>
      <c r="K27" s="19" t="s">
        <v>622</v>
      </c>
      <c r="L27" s="15" t="s">
        <v>22</v>
      </c>
      <c r="M27" s="19" t="s">
        <v>683</v>
      </c>
      <c r="N27" s="19" t="s">
        <v>622</v>
      </c>
      <c r="O27" s="15" t="s">
        <v>23</v>
      </c>
      <c r="P27" s="19" t="s">
        <v>684</v>
      </c>
      <c r="Q27" s="19" t="s">
        <v>685</v>
      </c>
      <c r="R27" s="19" t="s">
        <v>23</v>
      </c>
      <c r="S27" s="15" t="s">
        <v>28</v>
      </c>
      <c r="T27" s="3" t="s">
        <v>148</v>
      </c>
      <c r="U27" s="3" t="s">
        <v>130</v>
      </c>
      <c r="V27" s="6">
        <v>41488</v>
      </c>
      <c r="W27" s="7">
        <v>30</v>
      </c>
      <c r="X27" s="3" t="s">
        <v>69</v>
      </c>
      <c r="Y27" s="8" t="str">
        <f>HYPERLINK("http://admissions.med.ufl.edu/admission-requirements/regular-admission-requirements/","Click Here For Prerequisites")</f>
        <v>Click Here For Prerequisites</v>
      </c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:35" ht="103.5" customHeight="1" x14ac:dyDescent="0.25">
      <c r="A28" s="4" t="str">
        <f>HYPERLINK("http://admissions.med.miami.edu/md-programs/general-md/prerequisites","University of Miami School of Medicine")</f>
        <v>University of Miami School of Medicine</v>
      </c>
      <c r="B28" s="3" t="s">
        <v>132</v>
      </c>
      <c r="C28" s="3" t="s">
        <v>57</v>
      </c>
      <c r="D28" s="3" t="s">
        <v>22</v>
      </c>
      <c r="E28" s="3" t="s">
        <v>23</v>
      </c>
      <c r="F28" s="5" t="s">
        <v>152</v>
      </c>
      <c r="G28" s="5" t="s">
        <v>153</v>
      </c>
      <c r="H28" s="5" t="s">
        <v>154</v>
      </c>
      <c r="I28" s="19" t="s">
        <v>622</v>
      </c>
      <c r="J28" s="21" t="s">
        <v>626</v>
      </c>
      <c r="K28" s="19" t="s">
        <v>622</v>
      </c>
      <c r="L28" s="15" t="s">
        <v>22</v>
      </c>
      <c r="M28" s="19" t="s">
        <v>686</v>
      </c>
      <c r="N28" s="19" t="s">
        <v>622</v>
      </c>
      <c r="O28" s="15" t="s">
        <v>23</v>
      </c>
      <c r="P28" s="15" t="s">
        <v>23</v>
      </c>
      <c r="Q28" s="15" t="s">
        <v>23</v>
      </c>
      <c r="R28" s="19" t="s">
        <v>670</v>
      </c>
      <c r="S28" s="19" t="s">
        <v>687</v>
      </c>
      <c r="T28" s="3" t="s">
        <v>155</v>
      </c>
      <c r="U28" s="3" t="s">
        <v>30</v>
      </c>
      <c r="V28" s="6">
        <v>40909</v>
      </c>
      <c r="W28" s="7">
        <v>90</v>
      </c>
      <c r="X28" s="3" t="s">
        <v>156</v>
      </c>
      <c r="Y28" s="8" t="str">
        <f>HYPERLINK("http://admissions.med.miami.edu/md-programs/general-md/prerequisites","Click Here For Prerequisites")</f>
        <v>Click Here For Prerequisites</v>
      </c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:35" ht="120" customHeight="1" x14ac:dyDescent="0.25">
      <c r="A29" s="4" t="str">
        <f>HYPERLINK("http://health.usf.edu/medicine/mdprogram/mdadmissions/requirements.htm","University of South Florida Morsani College of Medicine")</f>
        <v>University of South Florida Morsani College of Medicine</v>
      </c>
      <c r="B29" s="3" t="s">
        <v>132</v>
      </c>
      <c r="C29" s="3" t="s">
        <v>21</v>
      </c>
      <c r="D29" s="3" t="s">
        <v>22</v>
      </c>
      <c r="E29" s="3" t="s">
        <v>23</v>
      </c>
      <c r="F29" s="5" t="s">
        <v>157</v>
      </c>
      <c r="G29" s="5" t="s">
        <v>158</v>
      </c>
      <c r="H29" s="5" t="s">
        <v>159</v>
      </c>
      <c r="I29" s="21" t="s">
        <v>690</v>
      </c>
      <c r="J29" s="21" t="s">
        <v>626</v>
      </c>
      <c r="K29" s="21" t="s">
        <v>622</v>
      </c>
      <c r="L29" s="19" t="s">
        <v>689</v>
      </c>
      <c r="M29" s="15" t="s">
        <v>23</v>
      </c>
      <c r="N29" s="21" t="s">
        <v>622</v>
      </c>
      <c r="O29" s="15" t="s">
        <v>27</v>
      </c>
      <c r="P29" s="15" t="s">
        <v>35</v>
      </c>
      <c r="Q29" s="19" t="s">
        <v>617</v>
      </c>
      <c r="R29" s="19" t="s">
        <v>691</v>
      </c>
      <c r="S29" s="19" t="s">
        <v>23</v>
      </c>
      <c r="T29" s="3" t="s">
        <v>160</v>
      </c>
      <c r="U29" s="16" t="s">
        <v>688</v>
      </c>
      <c r="V29" s="6">
        <v>41182</v>
      </c>
      <c r="W29" s="7">
        <v>30</v>
      </c>
      <c r="X29" s="3" t="s">
        <v>31</v>
      </c>
      <c r="Y29" s="8" t="str">
        <f>HYPERLINK("http://health.usf.edu/medicine/mdprogram/mdadmissions/requirements.htm","Click Here For Prerequisites")</f>
        <v>Click Here For Prerequisites</v>
      </c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:35" ht="48" customHeight="1" x14ac:dyDescent="0.25">
      <c r="A30" s="4" t="str">
        <f>HYPERLINK("http://med.emory.edu/education/admissions/md/how_to_apply/application_requirements.html","Emory University School of Medicine")</f>
        <v>Emory University School of Medicine</v>
      </c>
      <c r="B30" s="3" t="s">
        <v>161</v>
      </c>
      <c r="C30" s="3" t="s">
        <v>57</v>
      </c>
      <c r="D30" s="3" t="s">
        <v>22</v>
      </c>
      <c r="E30" s="3" t="s">
        <v>22</v>
      </c>
      <c r="F30" s="5" t="s">
        <v>162</v>
      </c>
      <c r="G30" s="5" t="s">
        <v>163</v>
      </c>
      <c r="H30" s="5" t="s">
        <v>164</v>
      </c>
      <c r="I30" s="21" t="s">
        <v>622</v>
      </c>
      <c r="J30" s="21" t="s">
        <v>622</v>
      </c>
      <c r="K30" s="21" t="s">
        <v>622</v>
      </c>
      <c r="L30" s="15" t="s">
        <v>35</v>
      </c>
      <c r="M30" s="15" t="s">
        <v>23</v>
      </c>
      <c r="N30" s="21" t="s">
        <v>622</v>
      </c>
      <c r="O30" s="19" t="s">
        <v>23</v>
      </c>
      <c r="P30" s="15" t="s">
        <v>23</v>
      </c>
      <c r="Q30" s="19" t="s">
        <v>23</v>
      </c>
      <c r="R30" s="19" t="s">
        <v>692</v>
      </c>
      <c r="S30" s="19" t="s">
        <v>693</v>
      </c>
      <c r="T30" s="3" t="s">
        <v>165</v>
      </c>
      <c r="U30" s="3" t="s">
        <v>44</v>
      </c>
      <c r="V30" s="6">
        <v>40909</v>
      </c>
      <c r="W30" s="7">
        <v>120</v>
      </c>
      <c r="X30" s="3" t="s">
        <v>166</v>
      </c>
      <c r="Y30" s="8" t="str">
        <f>HYPERLINK("http://med.emory.edu/education/admissions/md/how_to_apply/application_requirements.html","Click Here For Prerequisites")</f>
        <v>Click Here For Prerequisites</v>
      </c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35" ht="81" customHeight="1" x14ac:dyDescent="0.25">
      <c r="A31" s="4" t="str">
        <f>HYPERLINK("http://www.gru.edu/mcg/admissions/application/prerequisites.php","Medical College of Georgia at Regents University")</f>
        <v>Medical College of Georgia at Regents University</v>
      </c>
      <c r="B31" s="3" t="s">
        <v>161</v>
      </c>
      <c r="C31" s="3" t="s">
        <v>21</v>
      </c>
      <c r="D31" s="3" t="s">
        <v>22</v>
      </c>
      <c r="E31" s="3" t="s">
        <v>23</v>
      </c>
      <c r="F31" s="5" t="s">
        <v>167</v>
      </c>
      <c r="G31" s="5" t="s">
        <v>168</v>
      </c>
      <c r="H31" s="5" t="s">
        <v>169</v>
      </c>
      <c r="I31" s="21" t="s">
        <v>622</v>
      </c>
      <c r="J31" s="21" t="s">
        <v>622</v>
      </c>
      <c r="K31" s="21" t="s">
        <v>622</v>
      </c>
      <c r="L31" s="19" t="s">
        <v>22</v>
      </c>
      <c r="M31" s="19" t="s">
        <v>694</v>
      </c>
      <c r="N31" s="21" t="s">
        <v>622</v>
      </c>
      <c r="O31" s="19" t="s">
        <v>55</v>
      </c>
      <c r="P31" s="15" t="s">
        <v>23</v>
      </c>
      <c r="Q31" s="19" t="s">
        <v>22</v>
      </c>
      <c r="R31" s="19" t="s">
        <v>692</v>
      </c>
      <c r="S31" s="19" t="s">
        <v>695</v>
      </c>
      <c r="T31" s="3" t="s">
        <v>170</v>
      </c>
      <c r="U31" s="3" t="s">
        <v>30</v>
      </c>
      <c r="V31" s="6">
        <v>41275</v>
      </c>
      <c r="W31" s="7">
        <v>0</v>
      </c>
      <c r="X31" s="3" t="s">
        <v>45</v>
      </c>
      <c r="Y31" s="8" t="str">
        <f>HYPERLINK("http://www.gru.edu/mcg/admissions/application/prerequisites.php","Click Here For Prerequisites")</f>
        <v>Click Here For Prerequisites</v>
      </c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:35" ht="31.5" customHeight="1" x14ac:dyDescent="0.25">
      <c r="A32" s="4" t="str">
        <f>HYPERLINK("http://medicine.mercer.edu/admissions/md/","Mercer University School of Medicine")</f>
        <v>Mercer University School of Medicine</v>
      </c>
      <c r="B32" s="3" t="s">
        <v>161</v>
      </c>
      <c r="C32" s="3" t="s">
        <v>57</v>
      </c>
      <c r="D32" s="3" t="s">
        <v>23</v>
      </c>
      <c r="E32" s="3" t="s">
        <v>23</v>
      </c>
      <c r="F32" s="5" t="s">
        <v>171</v>
      </c>
      <c r="G32" s="5" t="s">
        <v>172</v>
      </c>
      <c r="H32" s="5" t="s">
        <v>173</v>
      </c>
      <c r="I32" s="21" t="s">
        <v>622</v>
      </c>
      <c r="J32" s="21" t="s">
        <v>622</v>
      </c>
      <c r="K32" s="21" t="s">
        <v>622</v>
      </c>
      <c r="L32" s="19" t="s">
        <v>23</v>
      </c>
      <c r="M32" s="15" t="s">
        <v>23</v>
      </c>
      <c r="N32" s="21" t="s">
        <v>622</v>
      </c>
      <c r="O32" s="19" t="s">
        <v>23</v>
      </c>
      <c r="P32" s="19" t="s">
        <v>23</v>
      </c>
      <c r="Q32" s="15" t="s">
        <v>23</v>
      </c>
      <c r="R32" s="19" t="s">
        <v>23</v>
      </c>
      <c r="S32" s="15" t="s">
        <v>28</v>
      </c>
      <c r="T32" s="3" t="s">
        <v>67</v>
      </c>
      <c r="U32" s="3" t="s">
        <v>30</v>
      </c>
      <c r="V32" s="6">
        <v>40909</v>
      </c>
      <c r="W32" s="7">
        <v>90</v>
      </c>
      <c r="X32" s="3" t="s">
        <v>174</v>
      </c>
      <c r="Y32" s="8" t="str">
        <f>HYPERLINK("http://medicine.mercer.edu/admissions/md/","Click Here For Prerequisites")</f>
        <v>Click Here For Prerequisites</v>
      </c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ht="31.5" customHeight="1" x14ac:dyDescent="0.25">
      <c r="A33" s="23" t="str">
        <f>HYPERLINK("http://www.msm.edu/prospective_students/MDadmissions/entrancerequirements.aspx","Morehouse School of Medicine")</f>
        <v>Morehouse School of Medicine</v>
      </c>
      <c r="B33" s="3" t="s">
        <v>161</v>
      </c>
      <c r="C33" s="3" t="s">
        <v>57</v>
      </c>
      <c r="D33" s="3" t="s">
        <v>22</v>
      </c>
      <c r="E33" s="3" t="s">
        <v>23</v>
      </c>
      <c r="F33" s="5" t="s">
        <v>175</v>
      </c>
      <c r="G33" s="5" t="s">
        <v>176</v>
      </c>
      <c r="H33" s="5" t="s">
        <v>177</v>
      </c>
      <c r="I33" s="21" t="s">
        <v>622</v>
      </c>
      <c r="J33" s="21" t="s">
        <v>622</v>
      </c>
      <c r="K33" s="21" t="s">
        <v>622</v>
      </c>
      <c r="L33" s="19" t="s">
        <v>23</v>
      </c>
      <c r="M33" s="15" t="s">
        <v>23</v>
      </c>
      <c r="N33" s="21" t="s">
        <v>622</v>
      </c>
      <c r="O33" s="15" t="s">
        <v>27</v>
      </c>
      <c r="P33" s="15" t="s">
        <v>23</v>
      </c>
      <c r="Q33" s="15" t="s">
        <v>23</v>
      </c>
      <c r="R33" s="19" t="s">
        <v>670</v>
      </c>
      <c r="S33" s="19" t="s">
        <v>23</v>
      </c>
      <c r="T33" s="3" t="s">
        <v>107</v>
      </c>
      <c r="U33" s="16" t="s">
        <v>646</v>
      </c>
      <c r="V33" s="6">
        <v>41275</v>
      </c>
      <c r="W33" s="7">
        <v>50</v>
      </c>
      <c r="X33" s="3" t="s">
        <v>174</v>
      </c>
      <c r="Y33" s="8" t="str">
        <f>HYPERLINK("http://www.msm.edu/prospective_students/MDadmissions/entrancerequirements.aspx","Click Here For Prerequisites")</f>
        <v>Click Here For Prerequisites</v>
      </c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ht="57" customHeight="1" x14ac:dyDescent="0.25">
      <c r="A34" s="23" t="str">
        <f>HYPERLINK("http://jabsom.hawaii.edu/JABSOM/admissions/mdprogram.php?l1=mdp&amp;l2=proS","University of Hawaii at Manoa, John A. Burns School of Medicine")</f>
        <v>University of Hawaii at Manoa, John A. Burns School of Medicine</v>
      </c>
      <c r="B34" s="3" t="s">
        <v>178</v>
      </c>
      <c r="C34" s="3" t="s">
        <v>21</v>
      </c>
      <c r="D34" s="3" t="s">
        <v>22</v>
      </c>
      <c r="E34" s="3" t="s">
        <v>22</v>
      </c>
      <c r="F34" s="5" t="s">
        <v>179</v>
      </c>
      <c r="G34" s="5" t="s">
        <v>180</v>
      </c>
      <c r="H34" s="5" t="s">
        <v>181</v>
      </c>
      <c r="I34" s="21" t="s">
        <v>622</v>
      </c>
      <c r="J34" s="21" t="s">
        <v>622</v>
      </c>
      <c r="K34" s="21" t="s">
        <v>622</v>
      </c>
      <c r="L34" s="15" t="s">
        <v>22</v>
      </c>
      <c r="M34" s="19" t="s">
        <v>696</v>
      </c>
      <c r="N34" s="21" t="s">
        <v>622</v>
      </c>
      <c r="O34" s="19" t="s">
        <v>23</v>
      </c>
      <c r="P34" s="15" t="s">
        <v>23</v>
      </c>
      <c r="Q34" s="15" t="s">
        <v>23</v>
      </c>
      <c r="R34" s="19" t="s">
        <v>23</v>
      </c>
      <c r="S34" s="19" t="s">
        <v>23</v>
      </c>
      <c r="T34" s="3" t="s">
        <v>183</v>
      </c>
      <c r="U34" s="3" t="s">
        <v>44</v>
      </c>
      <c r="V34" s="6">
        <v>41305</v>
      </c>
      <c r="W34" s="3" t="s">
        <v>184</v>
      </c>
      <c r="X34" s="3" t="s">
        <v>45</v>
      </c>
      <c r="Y34" s="8" t="str">
        <f>HYPERLINK("http://jabsom.hawaii.edu/JABSOM/admissions/mdprogram.php?l1=mdp&amp;l2=proS","Click Here For Prerequisites")</f>
        <v>Click Here For Prerequisites</v>
      </c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ht="63.75" customHeight="1" x14ac:dyDescent="0.25">
      <c r="A35" s="4" t="str">
        <f>HYPERLINK("http://www.medicine.uiowa.edu/md/requirements/","University of Iowa, College of Medicine")</f>
        <v>University of Iowa, College of Medicine</v>
      </c>
      <c r="B35" s="3" t="s">
        <v>185</v>
      </c>
      <c r="C35" s="3" t="s">
        <v>21</v>
      </c>
      <c r="D35" s="3" t="s">
        <v>22</v>
      </c>
      <c r="E35" s="3" t="s">
        <v>23</v>
      </c>
      <c r="F35" s="5" t="s">
        <v>186</v>
      </c>
      <c r="G35" s="5" t="s">
        <v>187</v>
      </c>
      <c r="H35" s="5" t="s">
        <v>188</v>
      </c>
      <c r="I35" s="21" t="s">
        <v>622</v>
      </c>
      <c r="J35" s="21" t="s">
        <v>668</v>
      </c>
      <c r="K35" s="21" t="s">
        <v>626</v>
      </c>
      <c r="L35" s="19" t="s">
        <v>22</v>
      </c>
      <c r="M35" s="15" t="s">
        <v>189</v>
      </c>
      <c r="N35" s="21" t="s">
        <v>622</v>
      </c>
      <c r="O35" s="15" t="s">
        <v>55</v>
      </c>
      <c r="P35" s="15" t="s">
        <v>23</v>
      </c>
      <c r="Q35" s="15" t="s">
        <v>23</v>
      </c>
      <c r="R35" s="19" t="s">
        <v>697</v>
      </c>
      <c r="S35" s="19" t="s">
        <v>698</v>
      </c>
      <c r="T35" s="3" t="s">
        <v>144</v>
      </c>
      <c r="U35" s="3" t="s">
        <v>190</v>
      </c>
      <c r="V35" s="6">
        <v>40179</v>
      </c>
      <c r="W35" s="7">
        <v>60</v>
      </c>
      <c r="X35" s="3" t="s">
        <v>69</v>
      </c>
      <c r="Y35" s="8" t="str">
        <f>HYPERLINK("http://www.medicine.uiowa.edu/md/requirements/","Click Here For Prerequisites")</f>
        <v>Click Here For Prerequisites</v>
      </c>
      <c r="Z35" s="18" t="s">
        <v>699</v>
      </c>
      <c r="AA35" s="9"/>
      <c r="AB35" s="9"/>
      <c r="AC35" s="9"/>
      <c r="AD35" s="9"/>
      <c r="AE35" s="9"/>
      <c r="AF35" s="9"/>
      <c r="AG35" s="9"/>
      <c r="AH35" s="9"/>
      <c r="AI35" s="9"/>
    </row>
    <row r="36" spans="1:35" ht="93.75" customHeight="1" x14ac:dyDescent="0.25">
      <c r="A36" s="4" t="str">
        <f>HYPERLINK("http://www.stritch.luc.edu/admission","Loyola University, Chicago Stritch School of Medicine")</f>
        <v>Loyola University, Chicago Stritch School of Medicine</v>
      </c>
      <c r="B36" s="3" t="s">
        <v>191</v>
      </c>
      <c r="C36" s="3" t="s">
        <v>57</v>
      </c>
      <c r="D36" s="3" t="s">
        <v>22</v>
      </c>
      <c r="E36" s="3" t="s">
        <v>23</v>
      </c>
      <c r="F36" s="5" t="s">
        <v>192</v>
      </c>
      <c r="G36" s="5" t="s">
        <v>193</v>
      </c>
      <c r="H36" s="5" t="s">
        <v>194</v>
      </c>
      <c r="I36" s="21" t="s">
        <v>622</v>
      </c>
      <c r="J36" s="21" t="s">
        <v>700</v>
      </c>
      <c r="K36" s="21" t="s">
        <v>622</v>
      </c>
      <c r="L36" s="19" t="s">
        <v>23</v>
      </c>
      <c r="M36" s="19" t="s">
        <v>23</v>
      </c>
      <c r="N36" s="21" t="s">
        <v>622</v>
      </c>
      <c r="O36" s="15" t="s">
        <v>23</v>
      </c>
      <c r="P36" s="15" t="s">
        <v>23</v>
      </c>
      <c r="Q36" s="15" t="s">
        <v>23</v>
      </c>
      <c r="R36" s="19" t="s">
        <v>23</v>
      </c>
      <c r="S36" s="15" t="s">
        <v>28</v>
      </c>
      <c r="T36" s="3" t="s">
        <v>195</v>
      </c>
      <c r="U36" s="3" t="s">
        <v>22</v>
      </c>
      <c r="V36" s="6">
        <v>40909</v>
      </c>
      <c r="W36" s="7">
        <v>85</v>
      </c>
      <c r="X36" s="3" t="s">
        <v>69</v>
      </c>
      <c r="Y36" s="8" t="str">
        <f>HYPERLINK("http://www.stritch.luc.edu/admission","Click Here For Prerequisites")</f>
        <v>Click Here For Prerequisites</v>
      </c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ht="31.5" customHeight="1" x14ac:dyDescent="0.25">
      <c r="A37" s="4" t="str">
        <f>HYPERLINK("http://www.feinberg.northwestern.edu/admissions/process/requirements/","Northwestern University Medical School")</f>
        <v>Northwestern University Medical School</v>
      </c>
      <c r="B37" s="3" t="s">
        <v>191</v>
      </c>
      <c r="C37" s="3" t="s">
        <v>57</v>
      </c>
      <c r="D37" s="3" t="s">
        <v>22</v>
      </c>
      <c r="E37" s="3" t="s">
        <v>22</v>
      </c>
      <c r="F37" s="5" t="s">
        <v>196</v>
      </c>
      <c r="G37" s="5" t="s">
        <v>197</v>
      </c>
      <c r="H37" s="5" t="s">
        <v>198</v>
      </c>
      <c r="I37" s="21" t="s">
        <v>622</v>
      </c>
      <c r="J37" s="21" t="s">
        <v>622</v>
      </c>
      <c r="K37" s="21" t="s">
        <v>622</v>
      </c>
      <c r="L37" s="15" t="s">
        <v>35</v>
      </c>
      <c r="M37" s="19" t="s">
        <v>702</v>
      </c>
      <c r="N37" s="21" t="s">
        <v>622</v>
      </c>
      <c r="O37" s="15" t="s">
        <v>23</v>
      </c>
      <c r="P37" s="15" t="s">
        <v>23</v>
      </c>
      <c r="Q37" s="15" t="s">
        <v>35</v>
      </c>
      <c r="R37" s="19" t="s">
        <v>701</v>
      </c>
      <c r="S37" s="19" t="s">
        <v>703</v>
      </c>
      <c r="T37" s="3" t="s">
        <v>199</v>
      </c>
      <c r="U37" s="3" t="s">
        <v>44</v>
      </c>
      <c r="V37" s="6">
        <v>41301</v>
      </c>
      <c r="W37" s="7">
        <v>95</v>
      </c>
      <c r="X37" s="3" t="s">
        <v>31</v>
      </c>
      <c r="Y37" s="8" t="str">
        <f>HYPERLINK("http://www.feinberg.northwestern.edu/admissions/process/requirements/","Click Here For Prerequisites")</f>
        <v>Click Here For Prerequisites</v>
      </c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ht="78.75" customHeight="1" x14ac:dyDescent="0.25">
      <c r="A38" s="23" t="str">
        <f>HYPERLINK("http://www.rosalindfranklin.edu/Degreeprograms/AllopathicMedicine/appNeeds.aspx","Rosalind Franklin University of Medicine and Science, Chicago Medical School")</f>
        <v>Rosalind Franklin University of Medicine and Science, Chicago Medical School</v>
      </c>
      <c r="B38" s="3" t="s">
        <v>191</v>
      </c>
      <c r="C38" s="3" t="s">
        <v>57</v>
      </c>
      <c r="D38" s="3" t="s">
        <v>22</v>
      </c>
      <c r="E38" s="3" t="s">
        <v>22</v>
      </c>
      <c r="F38" s="5" t="s">
        <v>200</v>
      </c>
      <c r="G38" s="5" t="s">
        <v>201</v>
      </c>
      <c r="H38" s="5" t="s">
        <v>202</v>
      </c>
      <c r="I38" s="21" t="s">
        <v>622</v>
      </c>
      <c r="J38" s="21" t="s">
        <v>705</v>
      </c>
      <c r="K38" s="21" t="s">
        <v>622</v>
      </c>
      <c r="L38" s="19" t="s">
        <v>22</v>
      </c>
      <c r="M38" s="19" t="s">
        <v>704</v>
      </c>
      <c r="N38" s="21" t="s">
        <v>622</v>
      </c>
      <c r="O38" s="19" t="s">
        <v>23</v>
      </c>
      <c r="P38" s="15" t="s">
        <v>23</v>
      </c>
      <c r="Q38" s="15" t="s">
        <v>35</v>
      </c>
      <c r="R38" s="19" t="s">
        <v>706</v>
      </c>
      <c r="S38" s="19" t="s">
        <v>707</v>
      </c>
      <c r="T38" s="3" t="s">
        <v>203</v>
      </c>
      <c r="U38" s="3" t="s">
        <v>44</v>
      </c>
      <c r="V38" s="6">
        <v>41122</v>
      </c>
      <c r="W38" s="7">
        <v>105</v>
      </c>
      <c r="X38" s="3" t="s">
        <v>45</v>
      </c>
      <c r="Y38" s="8" t="str">
        <f>HYPERLINK("http://www.rosalindfranklin.edu/Degreeprograms/AllopathicMedicine/appNeeds.aspx","Click Here For Prerequisites")</f>
        <v>Click Here For Prerequisites</v>
      </c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ht="51" customHeight="1" x14ac:dyDescent="0.25">
      <c r="A39" s="23" t="str">
        <f>HYPERLINK("http://www.rushu.rush.edu/servlet/Satellite?MetaAttrName=meta_university&amp;ParentId=1144343940257&amp;ParentType=RushUnivLevel2Page&amp;c=content_block&amp;cid=1191597747056&amp;level1-p=2&amp;level1-pp=1142960797000&amp;level1-ppp=1142960797000&amp;pagename=Rush%2Fcontent_block%2FCon","Rush Medical College of Rush University Medical Center")</f>
        <v>Rush Medical College of Rush University Medical Center</v>
      </c>
      <c r="B39" s="3" t="s">
        <v>191</v>
      </c>
      <c r="C39" s="3" t="s">
        <v>57</v>
      </c>
      <c r="D39" s="3" t="s">
        <v>22</v>
      </c>
      <c r="E39" s="3" t="s">
        <v>23</v>
      </c>
      <c r="F39" s="5" t="s">
        <v>204</v>
      </c>
      <c r="G39" s="5" t="s">
        <v>205</v>
      </c>
      <c r="H39" s="5" t="s">
        <v>206</v>
      </c>
      <c r="I39" s="21" t="s">
        <v>23</v>
      </c>
      <c r="J39" s="21" t="s">
        <v>23</v>
      </c>
      <c r="K39" s="21" t="s">
        <v>23</v>
      </c>
      <c r="L39" s="19" t="s">
        <v>684</v>
      </c>
      <c r="M39" s="19" t="s">
        <v>709</v>
      </c>
      <c r="N39" s="19" t="s">
        <v>23</v>
      </c>
      <c r="O39" s="15" t="s">
        <v>23</v>
      </c>
      <c r="P39" s="15" t="s">
        <v>23</v>
      </c>
      <c r="Q39" s="15" t="s">
        <v>23</v>
      </c>
      <c r="R39" s="19" t="s">
        <v>710</v>
      </c>
      <c r="S39" s="15" t="s">
        <v>28</v>
      </c>
      <c r="T39" s="3" t="s">
        <v>67</v>
      </c>
      <c r="U39" s="3" t="s">
        <v>130</v>
      </c>
      <c r="V39" s="6">
        <v>41275</v>
      </c>
      <c r="W39" s="7">
        <v>100</v>
      </c>
      <c r="X39" s="3" t="s">
        <v>69</v>
      </c>
      <c r="Y39" s="8" t="str">
        <f>HYPERLINK("http://www.rushu.rush.edu/servlet/Satellite?MetaAttrName=meta_university&amp;ParentId=1144343940257&amp;ParentType=RushUnivLevel2Page&amp;c=content_block&amp;cid=1191597747056&amp;level1-p=2&amp;level1-pp=1142960797000&amp;level1-ppp=1142960797000&amp;pagename=Rush%2Fcontent_block%2FCon","Click Here For Prerequisites")</f>
        <v>Click Here For Prerequisites</v>
      </c>
      <c r="Z39" s="18" t="s">
        <v>708</v>
      </c>
      <c r="AA39" s="9"/>
      <c r="AB39" s="9"/>
      <c r="AC39" s="9"/>
      <c r="AD39" s="9"/>
      <c r="AE39" s="9"/>
      <c r="AF39" s="9"/>
      <c r="AG39" s="9"/>
      <c r="AH39" s="9"/>
      <c r="AI39" s="9"/>
    </row>
    <row r="40" spans="1:35" ht="108" customHeight="1" x14ac:dyDescent="0.25">
      <c r="A40" s="4" t="str">
        <f>HYPERLINK("http://www.siumed.edu/studentaffairs/admissions/requirements.html","Southern Illinois University, School of Medicine")</f>
        <v>Southern Illinois University, School of Medicine</v>
      </c>
      <c r="B40" s="3" t="s">
        <v>191</v>
      </c>
      <c r="C40" s="3" t="s">
        <v>21</v>
      </c>
      <c r="D40" s="3" t="s">
        <v>23</v>
      </c>
      <c r="E40" s="3" t="s">
        <v>23</v>
      </c>
      <c r="F40" s="5" t="s">
        <v>207</v>
      </c>
      <c r="G40" s="5" t="s">
        <v>208</v>
      </c>
      <c r="H40" s="5" t="s">
        <v>209</v>
      </c>
      <c r="I40" s="21" t="s">
        <v>711</v>
      </c>
      <c r="J40" s="21" t="s">
        <v>711</v>
      </c>
      <c r="K40" s="21" t="s">
        <v>711</v>
      </c>
      <c r="L40" s="15" t="s">
        <v>23</v>
      </c>
      <c r="M40" s="19" t="s">
        <v>715</v>
      </c>
      <c r="N40" s="21" t="s">
        <v>711</v>
      </c>
      <c r="O40" s="19" t="s">
        <v>716</v>
      </c>
      <c r="P40" s="15" t="s">
        <v>23</v>
      </c>
      <c r="Q40" s="19" t="s">
        <v>35</v>
      </c>
      <c r="R40" s="19" t="s">
        <v>717</v>
      </c>
      <c r="S40" s="15" t="s">
        <v>28</v>
      </c>
      <c r="T40" s="3" t="s">
        <v>210</v>
      </c>
      <c r="U40" s="3" t="s">
        <v>130</v>
      </c>
      <c r="V40" s="6">
        <v>41275</v>
      </c>
      <c r="W40" s="7">
        <v>60</v>
      </c>
      <c r="X40" s="3" t="s">
        <v>69</v>
      </c>
      <c r="Y40" s="8" t="str">
        <f>HYPERLINK("http://www.siumed.edu/studentaffairs/admissions/requirements.html","Click Here For Prerequisites")</f>
        <v>Click Here For Prerequisites</v>
      </c>
      <c r="Z40" s="18" t="s">
        <v>714</v>
      </c>
      <c r="AA40" s="9"/>
      <c r="AB40" s="9"/>
      <c r="AC40" s="9"/>
      <c r="AD40" s="9"/>
      <c r="AE40" s="9"/>
      <c r="AF40" s="9"/>
      <c r="AG40" s="9"/>
      <c r="AH40" s="9"/>
      <c r="AI40" s="9"/>
    </row>
    <row r="41" spans="1:35" ht="75" customHeight="1" x14ac:dyDescent="0.25">
      <c r="A41" s="23" t="str">
        <f>HYPERLINK("http://pritzker.uchicago.edu/admissions/requirements/","University of Chicago, Division of the Biological Sciences, The Pritzker School of Medicine")</f>
        <v>University of Chicago, Division of the Biological Sciences, The Pritzker School of Medicine</v>
      </c>
      <c r="B41" s="3" t="s">
        <v>191</v>
      </c>
      <c r="C41" s="3" t="s">
        <v>57</v>
      </c>
      <c r="D41" s="3" t="s">
        <v>22</v>
      </c>
      <c r="E41" s="3" t="s">
        <v>22</v>
      </c>
      <c r="F41" s="5" t="s">
        <v>211</v>
      </c>
      <c r="G41" s="5" t="s">
        <v>212</v>
      </c>
      <c r="H41" s="5" t="s">
        <v>213</v>
      </c>
      <c r="I41" s="21" t="s">
        <v>711</v>
      </c>
      <c r="J41" s="21" t="s">
        <v>711</v>
      </c>
      <c r="K41" s="21" t="s">
        <v>711</v>
      </c>
      <c r="L41" s="15" t="s">
        <v>22</v>
      </c>
      <c r="M41" s="15" t="s">
        <v>23</v>
      </c>
      <c r="N41" s="21" t="s">
        <v>711</v>
      </c>
      <c r="O41" s="15" t="s">
        <v>23</v>
      </c>
      <c r="P41" s="19" t="s">
        <v>23</v>
      </c>
      <c r="Q41" s="15" t="s">
        <v>35</v>
      </c>
      <c r="R41" s="19" t="s">
        <v>713</v>
      </c>
      <c r="S41" s="19" t="s">
        <v>712</v>
      </c>
      <c r="T41" s="3" t="s">
        <v>183</v>
      </c>
      <c r="U41" s="3" t="s">
        <v>30</v>
      </c>
      <c r="V41" s="6">
        <v>41609</v>
      </c>
      <c r="W41" s="7">
        <v>85</v>
      </c>
      <c r="X41" s="3" t="s">
        <v>31</v>
      </c>
      <c r="Y41" s="8" t="str">
        <f>HYPERLINK("http://pritzker.uchicago.edu/admissions/requirements/","Click Here For Prerequisites")</f>
        <v>Click Here For Prerequisites</v>
      </c>
      <c r="Z41" s="18" t="s">
        <v>762</v>
      </c>
      <c r="AA41" s="9"/>
      <c r="AB41" s="9"/>
      <c r="AC41" s="9"/>
      <c r="AD41" s="9"/>
      <c r="AE41" s="9"/>
      <c r="AF41" s="9"/>
      <c r="AG41" s="9"/>
      <c r="AH41" s="9"/>
      <c r="AI41" s="9"/>
    </row>
    <row r="42" spans="1:35" ht="159.75" customHeight="1" x14ac:dyDescent="0.25">
      <c r="A42" s="23" t="str">
        <f>HYPERLINK("http://medicine.uic.edu/cms/One.aspx?portalId=443021&amp;pageId=19888504","University of Illinois at Chicago, College of Medicine")</f>
        <v>University of Illinois at Chicago, College of Medicine</v>
      </c>
      <c r="B42" s="3" t="s">
        <v>191</v>
      </c>
      <c r="C42" s="3" t="s">
        <v>21</v>
      </c>
      <c r="D42" s="3" t="s">
        <v>22</v>
      </c>
      <c r="E42" s="3" t="s">
        <v>23</v>
      </c>
      <c r="F42" s="5" t="s">
        <v>214</v>
      </c>
      <c r="G42" s="5" t="s">
        <v>215</v>
      </c>
      <c r="H42" s="5" t="s">
        <v>216</v>
      </c>
      <c r="I42" s="21" t="s">
        <v>622</v>
      </c>
      <c r="J42" s="21" t="s">
        <v>718</v>
      </c>
      <c r="K42" s="21" t="s">
        <v>622</v>
      </c>
      <c r="L42" s="15" t="s">
        <v>23</v>
      </c>
      <c r="M42" s="15" t="s">
        <v>82</v>
      </c>
      <c r="N42" s="21" t="s">
        <v>622</v>
      </c>
      <c r="O42" s="15" t="s">
        <v>23</v>
      </c>
      <c r="P42" s="15" t="s">
        <v>23</v>
      </c>
      <c r="Q42" s="15" t="s">
        <v>23</v>
      </c>
      <c r="R42" s="19" t="s">
        <v>23</v>
      </c>
      <c r="S42" s="19" t="s">
        <v>719</v>
      </c>
      <c r="T42" s="3" t="s">
        <v>217</v>
      </c>
      <c r="U42" s="3" t="s">
        <v>30</v>
      </c>
      <c r="V42" s="6">
        <v>41275</v>
      </c>
      <c r="W42" s="7">
        <v>70</v>
      </c>
      <c r="X42" s="3" t="s">
        <v>45</v>
      </c>
      <c r="Y42" s="8" t="str">
        <f>HYPERLINK("http://medicine.uic.edu/cms/One.aspx?portalId=443021&amp;pageId=19888504","Click Here For Prerequisites")</f>
        <v>Click Here For Prerequisites</v>
      </c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ht="48" customHeight="1" x14ac:dyDescent="0.25">
      <c r="A43" s="4" t="str">
        <f>HYPERLINK("http://admissions.medicine.iu.edu/applying-to-the-iu-school-of-medicine/","Indiana University School of Medicine")</f>
        <v>Indiana University School of Medicine</v>
      </c>
      <c r="B43" s="3" t="s">
        <v>218</v>
      </c>
      <c r="C43" s="3" t="s">
        <v>21</v>
      </c>
      <c r="D43" s="3" t="s">
        <v>22</v>
      </c>
      <c r="E43" s="3" t="s">
        <v>23</v>
      </c>
      <c r="F43" s="5" t="s">
        <v>219</v>
      </c>
      <c r="G43" s="5" t="s">
        <v>220</v>
      </c>
      <c r="H43" s="5" t="s">
        <v>221</v>
      </c>
      <c r="I43" s="21" t="s">
        <v>622</v>
      </c>
      <c r="J43" s="21" t="s">
        <v>622</v>
      </c>
      <c r="K43" s="21" t="s">
        <v>622</v>
      </c>
      <c r="L43" s="15" t="s">
        <v>22</v>
      </c>
      <c r="M43" s="15" t="s">
        <v>23</v>
      </c>
      <c r="N43" s="21" t="s">
        <v>622</v>
      </c>
      <c r="O43" s="19" t="s">
        <v>23</v>
      </c>
      <c r="P43" s="19" t="s">
        <v>23</v>
      </c>
      <c r="Q43" s="19" t="s">
        <v>23</v>
      </c>
      <c r="R43" s="19" t="s">
        <v>23</v>
      </c>
      <c r="S43" s="19" t="s">
        <v>720</v>
      </c>
      <c r="T43" s="3" t="s">
        <v>29</v>
      </c>
      <c r="U43" s="3" t="s">
        <v>44</v>
      </c>
      <c r="V43" s="6">
        <v>41152</v>
      </c>
      <c r="W43" s="3" t="s">
        <v>222</v>
      </c>
      <c r="X43" s="3" t="s">
        <v>31</v>
      </c>
      <c r="Y43" s="8" t="str">
        <f>HYPERLINK("http://admissions.medicine.iu.edu/applying-to-the-iu-school-of-medicine/","Click Here For Prerequisites")</f>
        <v>Click Here For Prerequisites</v>
      </c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ht="75" customHeight="1" x14ac:dyDescent="0.25">
      <c r="A44" s="4" t="str">
        <f>HYPERLINK("http://www.kumc.edu/school-of-medicine/education/admissions/premedical-requirements.html","University of Kansas School of Medicine")</f>
        <v>University of Kansas School of Medicine</v>
      </c>
      <c r="B44" s="3" t="s">
        <v>223</v>
      </c>
      <c r="C44" s="3" t="s">
        <v>21</v>
      </c>
      <c r="D44" s="3" t="s">
        <v>22</v>
      </c>
      <c r="E44" s="3" t="s">
        <v>23</v>
      </c>
      <c r="F44" s="5" t="s">
        <v>224</v>
      </c>
      <c r="G44" s="5" t="s">
        <v>225</v>
      </c>
      <c r="H44" s="5" t="s">
        <v>226</v>
      </c>
      <c r="I44" s="21" t="s">
        <v>622</v>
      </c>
      <c r="J44" s="21" t="s">
        <v>723</v>
      </c>
      <c r="K44" s="21" t="s">
        <v>27</v>
      </c>
      <c r="L44" s="15" t="s">
        <v>35</v>
      </c>
      <c r="M44" s="19" t="s">
        <v>722</v>
      </c>
      <c r="N44" s="21" t="s">
        <v>622</v>
      </c>
      <c r="O44" s="19" t="s">
        <v>65</v>
      </c>
      <c r="P44" s="15" t="s">
        <v>23</v>
      </c>
      <c r="Q44" s="15" t="s">
        <v>23</v>
      </c>
      <c r="R44" s="19" t="s">
        <v>721</v>
      </c>
      <c r="S44" s="19" t="s">
        <v>724</v>
      </c>
      <c r="T44" s="3" t="s">
        <v>227</v>
      </c>
      <c r="U44" s="3" t="s">
        <v>228</v>
      </c>
      <c r="V44" s="6">
        <v>41275</v>
      </c>
      <c r="W44" s="7">
        <v>50</v>
      </c>
      <c r="X44" s="3" t="s">
        <v>31</v>
      </c>
      <c r="Y44" s="8" t="str">
        <f>HYPERLINK("http://www.kumc.edu/school-of-medicine/education/admissions/premedical-requirements.html","Click Here For Prerequisites")</f>
        <v>Click Here For Prerequisites</v>
      </c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ht="94.5" customHeight="1" x14ac:dyDescent="0.25">
      <c r="A45" s="4" t="str">
        <f>HYPERLINK("http://meded.med.uky.edu/meded-admissions-prerequisites","University of Kentucky, College of Medicine")</f>
        <v>University of Kentucky, College of Medicine</v>
      </c>
      <c r="B45" s="3" t="s">
        <v>229</v>
      </c>
      <c r="C45" s="3" t="s">
        <v>21</v>
      </c>
      <c r="D45" s="3" t="s">
        <v>22</v>
      </c>
      <c r="E45" s="3" t="s">
        <v>22</v>
      </c>
      <c r="F45" s="5" t="s">
        <v>230</v>
      </c>
      <c r="G45" s="5" t="s">
        <v>231</v>
      </c>
      <c r="H45" s="5" t="s">
        <v>232</v>
      </c>
      <c r="I45" s="21" t="s">
        <v>622</v>
      </c>
      <c r="J45" s="21" t="s">
        <v>622</v>
      </c>
      <c r="K45" s="21" t="s">
        <v>622</v>
      </c>
      <c r="L45" s="19" t="s">
        <v>22</v>
      </c>
      <c r="M45" s="15" t="s">
        <v>23</v>
      </c>
      <c r="N45" s="21" t="s">
        <v>622</v>
      </c>
      <c r="O45" s="19" t="s">
        <v>35</v>
      </c>
      <c r="P45" s="15" t="s">
        <v>23</v>
      </c>
      <c r="Q45" s="15" t="s">
        <v>23</v>
      </c>
      <c r="R45" s="19" t="s">
        <v>725</v>
      </c>
      <c r="S45" s="19" t="s">
        <v>726</v>
      </c>
      <c r="T45" s="3" t="s">
        <v>233</v>
      </c>
      <c r="U45" s="3" t="s">
        <v>234</v>
      </c>
      <c r="V45" s="6">
        <v>41275</v>
      </c>
      <c r="W45" s="7">
        <v>50</v>
      </c>
      <c r="X45" s="3" t="s">
        <v>31</v>
      </c>
      <c r="Y45" s="8" t="str">
        <f>HYPERLINK("http://meded.med.uky.edu/prerequisites-0","Click Here For Prerequisites")</f>
        <v>Click Here For Prerequisites</v>
      </c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ht="114" customHeight="1" x14ac:dyDescent="0.25">
      <c r="A46" s="4" t="str">
        <f>HYPERLINK("http://louisville.edu/medicine/admissions/app-process/complete-prerequisites","University of Louisville School of Medicine")</f>
        <v>University of Louisville School of Medicine</v>
      </c>
      <c r="B46" s="3" t="s">
        <v>229</v>
      </c>
      <c r="C46" s="3" t="s">
        <v>21</v>
      </c>
      <c r="D46" s="3" t="s">
        <v>22</v>
      </c>
      <c r="E46" s="3" t="s">
        <v>22</v>
      </c>
      <c r="F46" s="5" t="s">
        <v>235</v>
      </c>
      <c r="G46" s="5" t="s">
        <v>236</v>
      </c>
      <c r="H46" s="5" t="s">
        <v>237</v>
      </c>
      <c r="I46" s="21" t="s">
        <v>622</v>
      </c>
      <c r="J46" s="21" t="s">
        <v>622</v>
      </c>
      <c r="K46" s="21" t="s">
        <v>727</v>
      </c>
      <c r="L46" s="15" t="s">
        <v>35</v>
      </c>
      <c r="M46" s="15" t="s">
        <v>23</v>
      </c>
      <c r="N46" s="21" t="s">
        <v>622</v>
      </c>
      <c r="O46" s="15" t="s">
        <v>238</v>
      </c>
      <c r="P46" s="15" t="s">
        <v>55</v>
      </c>
      <c r="Q46" s="15" t="s">
        <v>35</v>
      </c>
      <c r="R46" s="19" t="s">
        <v>728</v>
      </c>
      <c r="S46" s="19" t="s">
        <v>23</v>
      </c>
      <c r="T46" s="3" t="s">
        <v>144</v>
      </c>
      <c r="U46" s="3" t="s">
        <v>30</v>
      </c>
      <c r="V46" s="6">
        <v>41275</v>
      </c>
      <c r="W46" s="7">
        <v>75</v>
      </c>
      <c r="X46" s="3" t="s">
        <v>31</v>
      </c>
      <c r="Y46" s="8" t="str">
        <f>HYPERLINK("http://louisville.edu/medicine/admissions/app-process/complete-prerequisites","Click Here For Prerequisites")</f>
        <v>Click Here For Prerequisites</v>
      </c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ht="104.25" customHeight="1" x14ac:dyDescent="0.25">
      <c r="A47" s="23" t="str">
        <f>HYPERLINK("http://www.lsuhscshreveport.edu/Admissions/Requirements.aspx#requirements","Louisiana State University Health Sciences Center, School of Medicine in Shreveport")</f>
        <v>Louisiana State University Health Sciences Center, School of Medicine in Shreveport</v>
      </c>
      <c r="B47" s="3" t="s">
        <v>239</v>
      </c>
      <c r="C47" s="3" t="s">
        <v>21</v>
      </c>
      <c r="D47" s="3" t="s">
        <v>30</v>
      </c>
      <c r="E47" s="3" t="s">
        <v>23</v>
      </c>
      <c r="F47" s="5" t="s">
        <v>240</v>
      </c>
      <c r="G47" s="5" t="s">
        <v>241</v>
      </c>
      <c r="H47" s="5" t="s">
        <v>242</v>
      </c>
      <c r="I47" s="21" t="s">
        <v>729</v>
      </c>
      <c r="J47" s="21" t="s">
        <v>729</v>
      </c>
      <c r="K47" s="21" t="s">
        <v>27</v>
      </c>
      <c r="L47" s="19" t="s">
        <v>22</v>
      </c>
      <c r="M47" s="19" t="s">
        <v>732</v>
      </c>
      <c r="N47" s="19" t="s">
        <v>23</v>
      </c>
      <c r="O47" s="19" t="s">
        <v>23</v>
      </c>
      <c r="P47" s="19" t="s">
        <v>23</v>
      </c>
      <c r="Q47" s="19" t="s">
        <v>23</v>
      </c>
      <c r="R47" s="19" t="s">
        <v>670</v>
      </c>
      <c r="S47" s="19" t="s">
        <v>731</v>
      </c>
      <c r="T47" s="3" t="s">
        <v>243</v>
      </c>
      <c r="U47" s="3" t="s">
        <v>30</v>
      </c>
      <c r="V47" s="6">
        <v>42111</v>
      </c>
      <c r="W47" s="7">
        <v>50</v>
      </c>
      <c r="X47" s="3" t="s">
        <v>31</v>
      </c>
      <c r="Y47" s="8" t="str">
        <f>HYPERLINK("http://www.lsuhscshreveport.edu/Admissions/Requirements.aspx#requirements","Click Here For Prerequisites")</f>
        <v>Click Here For Prerequisites</v>
      </c>
      <c r="Z47" s="18" t="s">
        <v>730</v>
      </c>
      <c r="AA47" s="9"/>
      <c r="AB47" s="9"/>
      <c r="AC47" s="9"/>
      <c r="AD47" s="9"/>
      <c r="AE47" s="9"/>
      <c r="AF47" s="9"/>
      <c r="AG47" s="9"/>
      <c r="AH47" s="9"/>
      <c r="AI47" s="9"/>
    </row>
    <row r="48" spans="1:35" ht="80.25" customHeight="1" x14ac:dyDescent="0.25">
      <c r="A48" s="4" t="str">
        <f>HYPERLINK("http://www.medschool.lsuhsc.edu/admissions/Requirements.aspx","Lousiana State University School of Medicine in New Orleans")</f>
        <v>Lousiana State University School of Medicine in New Orleans</v>
      </c>
      <c r="B48" s="3" t="s">
        <v>239</v>
      </c>
      <c r="C48" s="3" t="s">
        <v>21</v>
      </c>
      <c r="D48" s="3" t="s">
        <v>44</v>
      </c>
      <c r="E48" s="3" t="s">
        <v>244</v>
      </c>
      <c r="F48" s="5" t="s">
        <v>245</v>
      </c>
      <c r="G48" s="5" t="s">
        <v>246</v>
      </c>
      <c r="H48" s="5" t="s">
        <v>247</v>
      </c>
      <c r="I48" s="21" t="s">
        <v>622</v>
      </c>
      <c r="J48" s="21" t="s">
        <v>622</v>
      </c>
      <c r="K48" s="21" t="s">
        <v>622</v>
      </c>
      <c r="L48" s="15" t="s">
        <v>22</v>
      </c>
      <c r="M48" s="15" t="s">
        <v>23</v>
      </c>
      <c r="N48" s="21" t="s">
        <v>622</v>
      </c>
      <c r="O48" s="19" t="s">
        <v>22</v>
      </c>
      <c r="P48" s="15" t="s">
        <v>35</v>
      </c>
      <c r="Q48" s="15" t="s">
        <v>22</v>
      </c>
      <c r="R48" s="19" t="s">
        <v>733</v>
      </c>
      <c r="T48" s="3" t="s">
        <v>183</v>
      </c>
      <c r="U48" s="3" t="s">
        <v>30</v>
      </c>
      <c r="V48" s="6">
        <v>40910</v>
      </c>
      <c r="W48" s="7">
        <v>50</v>
      </c>
      <c r="X48" s="3" t="s">
        <v>31</v>
      </c>
      <c r="Y48" s="8" t="str">
        <f>HYPERLINK("http://www.medschool.lsuhsc.edu/admissions/Requirements.aspx","Click Here For Prerequisites")</f>
        <v>Click Here For Prerequisites</v>
      </c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ht="63.75" customHeight="1" x14ac:dyDescent="0.25">
      <c r="A49" s="4" t="str">
        <f>HYPERLINK("http://tulane.edu/som/admissions/apply/selection-factors.cfm","Tulane University School of Medicine")</f>
        <v>Tulane University School of Medicine</v>
      </c>
      <c r="B49" s="3" t="s">
        <v>239</v>
      </c>
      <c r="C49" s="3" t="s">
        <v>57</v>
      </c>
      <c r="D49" s="3" t="s">
        <v>22</v>
      </c>
      <c r="E49" s="3" t="s">
        <v>22</v>
      </c>
      <c r="F49" s="5" t="s">
        <v>248</v>
      </c>
      <c r="G49" s="5" t="s">
        <v>249</v>
      </c>
      <c r="H49" s="5" t="s">
        <v>250</v>
      </c>
      <c r="I49" s="21" t="s">
        <v>617</v>
      </c>
      <c r="J49" s="21" t="s">
        <v>617</v>
      </c>
      <c r="K49" s="21" t="s">
        <v>617</v>
      </c>
      <c r="L49" s="19" t="s">
        <v>23</v>
      </c>
      <c r="M49" s="19" t="s">
        <v>722</v>
      </c>
      <c r="N49" s="19" t="s">
        <v>617</v>
      </c>
      <c r="O49" s="19" t="s">
        <v>617</v>
      </c>
      <c r="P49" s="15" t="s">
        <v>156</v>
      </c>
      <c r="Q49" s="19" t="s">
        <v>617</v>
      </c>
      <c r="R49" s="19" t="s">
        <v>735</v>
      </c>
      <c r="S49" s="19" t="s">
        <v>736</v>
      </c>
      <c r="T49" s="3" t="s">
        <v>130</v>
      </c>
      <c r="U49" s="3" t="s">
        <v>156</v>
      </c>
      <c r="V49" s="6">
        <v>40756</v>
      </c>
      <c r="W49" s="7">
        <v>125</v>
      </c>
      <c r="X49" s="3" t="s">
        <v>31</v>
      </c>
      <c r="Y49" s="8" t="str">
        <f>HYPERLINK("http://tulane.edu/som/admissions/apply/selection-factors.cfm","Click Here For Prerequisites")</f>
        <v>Click Here For Prerequisites</v>
      </c>
      <c r="Z49" s="18" t="s">
        <v>734</v>
      </c>
      <c r="AA49" s="9"/>
      <c r="AB49" s="9"/>
      <c r="AC49" s="9"/>
      <c r="AD49" s="9"/>
      <c r="AE49" s="9"/>
      <c r="AF49" s="9"/>
      <c r="AG49" s="9"/>
      <c r="AH49" s="9"/>
      <c r="AI49" s="9"/>
    </row>
    <row r="50" spans="1:35" ht="75.75" customHeight="1" x14ac:dyDescent="0.25">
      <c r="A50" s="4" t="str">
        <f>HYPERLINK("http://www.bumc.bu.edu/admissions/applicationprocess/requirements/","Boston University School of Medicine")</f>
        <v>Boston University School of Medicine</v>
      </c>
      <c r="B50" s="3" t="s">
        <v>251</v>
      </c>
      <c r="C50" s="3" t="s">
        <v>57</v>
      </c>
      <c r="D50" s="3" t="s">
        <v>22</v>
      </c>
      <c r="E50" s="3" t="s">
        <v>22</v>
      </c>
      <c r="F50" s="5" t="s">
        <v>252</v>
      </c>
      <c r="G50" s="5" t="s">
        <v>253</v>
      </c>
      <c r="H50" s="5" t="s">
        <v>254</v>
      </c>
      <c r="I50" s="21" t="s">
        <v>668</v>
      </c>
      <c r="J50" s="21" t="s">
        <v>668</v>
      </c>
      <c r="K50" s="21" t="s">
        <v>622</v>
      </c>
      <c r="L50" s="15" t="s">
        <v>35</v>
      </c>
      <c r="M50" s="15" t="s">
        <v>23</v>
      </c>
      <c r="N50" s="19" t="s">
        <v>27</v>
      </c>
      <c r="O50" s="15" t="s">
        <v>35</v>
      </c>
      <c r="P50" s="15" t="s">
        <v>23</v>
      </c>
      <c r="Q50" s="15" t="s">
        <v>23</v>
      </c>
      <c r="R50" s="19" t="s">
        <v>737</v>
      </c>
      <c r="S50" s="19" t="s">
        <v>738</v>
      </c>
      <c r="T50" s="3" t="s">
        <v>29</v>
      </c>
      <c r="U50" s="16" t="s">
        <v>741</v>
      </c>
      <c r="V50" s="6">
        <v>40787</v>
      </c>
      <c r="W50" s="7">
        <v>110</v>
      </c>
      <c r="X50" s="3" t="s">
        <v>69</v>
      </c>
      <c r="Y50" s="8" t="str">
        <f>HYPERLINK("http://www.bumc.bu.edu/admissions/applicationprocess/requirements/","Click Here For Prerequisites")</f>
        <v>Click Here For Prerequisites</v>
      </c>
      <c r="Z50" s="18" t="s">
        <v>740</v>
      </c>
      <c r="AA50" s="9"/>
      <c r="AB50" s="9"/>
      <c r="AC50" s="9"/>
      <c r="AD50" s="9"/>
      <c r="AE50" s="9"/>
      <c r="AF50" s="9"/>
      <c r="AG50" s="9"/>
      <c r="AH50" s="9"/>
      <c r="AI50" s="9"/>
    </row>
    <row r="51" spans="1:35" ht="61.5" customHeight="1" x14ac:dyDescent="0.25">
      <c r="A51" s="4" t="str">
        <f>HYPERLINK("http://hms.harvard.edu/content/requirements-admission","Harvard Medical School (new)")</f>
        <v>Harvard Medical School (new)</v>
      </c>
      <c r="B51" s="3" t="s">
        <v>251</v>
      </c>
      <c r="C51" s="3" t="s">
        <v>57</v>
      </c>
      <c r="D51" s="3" t="s">
        <v>22</v>
      </c>
      <c r="E51" s="3" t="s">
        <v>22</v>
      </c>
      <c r="F51" s="5" t="s">
        <v>255</v>
      </c>
      <c r="G51" s="5" t="s">
        <v>256</v>
      </c>
      <c r="H51" s="5" t="s">
        <v>257</v>
      </c>
      <c r="I51" s="21" t="s">
        <v>668</v>
      </c>
      <c r="J51" s="21" t="s">
        <v>668</v>
      </c>
      <c r="K51" s="21" t="s">
        <v>27</v>
      </c>
      <c r="L51" s="15" t="s">
        <v>22</v>
      </c>
      <c r="M51" s="15" t="s">
        <v>23</v>
      </c>
      <c r="N51" s="21" t="s">
        <v>622</v>
      </c>
      <c r="O51" s="15" t="s">
        <v>258</v>
      </c>
      <c r="P51" s="19" t="s">
        <v>743</v>
      </c>
      <c r="Q51" s="19" t="s">
        <v>22</v>
      </c>
      <c r="R51" s="19" t="s">
        <v>742</v>
      </c>
      <c r="S51" s="19" t="s">
        <v>23</v>
      </c>
      <c r="T51" s="3" t="s">
        <v>29</v>
      </c>
      <c r="U51" s="3" t="s">
        <v>30</v>
      </c>
      <c r="V51" s="6">
        <v>40909</v>
      </c>
      <c r="W51" s="7">
        <v>100</v>
      </c>
      <c r="X51" s="3" t="s">
        <v>69</v>
      </c>
      <c r="Y51" s="8" t="str">
        <f t="shared" ref="Y51:Y52" si="0">HYPERLINK("http://hms.harvard.edu/departments/admissions/applying/requirements-admission","Click Here For Prerequisites")</f>
        <v>Click Here For Prerequisites</v>
      </c>
      <c r="Z51" s="18" t="s">
        <v>744</v>
      </c>
      <c r="AA51" s="9"/>
      <c r="AB51" s="9"/>
      <c r="AC51" s="9"/>
      <c r="AD51" s="9"/>
      <c r="AE51" s="9"/>
      <c r="AF51" s="9"/>
      <c r="AG51" s="9"/>
      <c r="AH51" s="9"/>
      <c r="AI51" s="9"/>
    </row>
    <row r="52" spans="1:35" ht="31.5" customHeight="1" x14ac:dyDescent="0.25">
      <c r="A52" s="11" t="s">
        <v>260</v>
      </c>
      <c r="B52" s="3" t="s">
        <v>251</v>
      </c>
      <c r="C52" s="3" t="s">
        <v>57</v>
      </c>
      <c r="D52" s="3" t="s">
        <v>22</v>
      </c>
      <c r="E52" s="3" t="s">
        <v>22</v>
      </c>
      <c r="F52" s="5" t="s">
        <v>261</v>
      </c>
      <c r="G52" s="5" t="s">
        <v>262</v>
      </c>
      <c r="H52" s="5" t="s">
        <v>263</v>
      </c>
      <c r="I52" s="22"/>
      <c r="J52" s="22"/>
      <c r="K52" s="22"/>
      <c r="L52" s="15" t="s">
        <v>264</v>
      </c>
      <c r="M52" s="15" t="s">
        <v>23</v>
      </c>
      <c r="O52" s="15" t="s">
        <v>23</v>
      </c>
      <c r="P52" s="15" t="s">
        <v>258</v>
      </c>
      <c r="Q52" s="15" t="s">
        <v>23</v>
      </c>
      <c r="S52" s="15" t="s">
        <v>259</v>
      </c>
      <c r="T52" s="3" t="s">
        <v>29</v>
      </c>
      <c r="U52" s="3" t="s">
        <v>30</v>
      </c>
      <c r="V52" s="6">
        <v>40544</v>
      </c>
      <c r="W52" s="12">
        <v>100</v>
      </c>
      <c r="X52" s="3" t="s">
        <v>69</v>
      </c>
      <c r="Y52" s="8" t="str">
        <f t="shared" si="0"/>
        <v>Click Here For Prerequisites</v>
      </c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ht="82.5" customHeight="1" x14ac:dyDescent="0.25">
      <c r="A53" s="23" t="str">
        <f>HYPERLINK("http://md.tufts.edu/Admissions/MD-Application-Process/Course-Prerequisites","Tufts University School of Medicine")</f>
        <v>Tufts University School of Medicine</v>
      </c>
      <c r="B53" s="3" t="s">
        <v>251</v>
      </c>
      <c r="C53" s="3" t="s">
        <v>57</v>
      </c>
      <c r="D53" s="3" t="s">
        <v>22</v>
      </c>
      <c r="E53" s="3" t="s">
        <v>22</v>
      </c>
      <c r="F53" s="5" t="s">
        <v>265</v>
      </c>
      <c r="G53" s="5" t="s">
        <v>266</v>
      </c>
      <c r="H53" s="5" t="s">
        <v>267</v>
      </c>
      <c r="I53" s="21" t="s">
        <v>745</v>
      </c>
      <c r="J53" s="21" t="s">
        <v>745</v>
      </c>
      <c r="K53" s="21" t="s">
        <v>27</v>
      </c>
      <c r="L53" s="15" t="s">
        <v>35</v>
      </c>
      <c r="M53" s="19" t="s">
        <v>748</v>
      </c>
      <c r="N53" s="19" t="s">
        <v>55</v>
      </c>
      <c r="O53" s="15" t="s">
        <v>23</v>
      </c>
      <c r="P53" s="15" t="s">
        <v>23</v>
      </c>
      <c r="Q53" s="19" t="s">
        <v>35</v>
      </c>
      <c r="R53" s="19" t="s">
        <v>617</v>
      </c>
      <c r="S53" s="15" t="s">
        <v>28</v>
      </c>
      <c r="T53" s="3" t="s">
        <v>29</v>
      </c>
      <c r="U53" s="16" t="s">
        <v>747</v>
      </c>
      <c r="V53" s="6">
        <v>40544</v>
      </c>
      <c r="W53" s="7">
        <v>105</v>
      </c>
      <c r="X53" s="3" t="s">
        <v>31</v>
      </c>
      <c r="Y53" s="8" t="str">
        <f>HYPERLINK("http://md.tufts.edu/Admissions/MD-Application-Process/Course-Prerequisites","Click Here For Prerequisites")</f>
        <v>Click Here For Prerequisites</v>
      </c>
      <c r="Z53" s="11" t="s">
        <v>746</v>
      </c>
      <c r="AA53" s="9"/>
      <c r="AB53" s="9"/>
      <c r="AC53" s="9"/>
      <c r="AD53" s="9"/>
      <c r="AE53" s="9"/>
      <c r="AF53" s="9"/>
      <c r="AG53" s="9"/>
      <c r="AH53" s="9"/>
      <c r="AI53" s="9"/>
    </row>
    <row r="54" spans="1:35" ht="63" customHeight="1" x14ac:dyDescent="0.25">
      <c r="A54" s="23" t="str">
        <f>HYPERLINK("http://www.umassmed.edu/som/admissions/reqs.aspx?linkidentifier=id&amp;itemid=95706","University of Massachusetts Medical School")</f>
        <v>University of Massachusetts Medical School</v>
      </c>
      <c r="B54" s="3" t="s">
        <v>251</v>
      </c>
      <c r="C54" s="3" t="s">
        <v>21</v>
      </c>
      <c r="D54" s="3" t="s">
        <v>22</v>
      </c>
      <c r="E54" s="3" t="s">
        <v>23</v>
      </c>
      <c r="F54" s="5" t="s">
        <v>268</v>
      </c>
      <c r="G54" s="5" t="s">
        <v>269</v>
      </c>
      <c r="H54" s="5" t="s">
        <v>270</v>
      </c>
      <c r="I54" s="21" t="s">
        <v>622</v>
      </c>
      <c r="J54" s="21" t="s">
        <v>622</v>
      </c>
      <c r="K54" s="21" t="s">
        <v>622</v>
      </c>
      <c r="L54" s="15" t="s">
        <v>35</v>
      </c>
      <c r="M54" s="19" t="s">
        <v>23</v>
      </c>
      <c r="N54" s="21" t="s">
        <v>622</v>
      </c>
      <c r="O54" s="15" t="s">
        <v>23</v>
      </c>
      <c r="P54" s="15" t="s">
        <v>35</v>
      </c>
      <c r="Q54" s="15" t="s">
        <v>35</v>
      </c>
      <c r="R54" s="19" t="s">
        <v>675</v>
      </c>
      <c r="S54" s="19" t="s">
        <v>749</v>
      </c>
      <c r="T54" s="3" t="s">
        <v>271</v>
      </c>
      <c r="U54" s="3" t="s">
        <v>44</v>
      </c>
      <c r="V54" s="6">
        <v>40909</v>
      </c>
      <c r="W54" s="7">
        <v>100</v>
      </c>
      <c r="X54" s="3" t="s">
        <v>45</v>
      </c>
      <c r="Y54" s="8" t="str">
        <f>HYPERLINK("http://www.umassmed.edu/som/admissions/reqs.aspx?linkidentifier=id&amp;itemid=95706","Click Here For Prerequisites")</f>
        <v>Click Here For Prerequisites</v>
      </c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ht="63.75" customHeight="1" x14ac:dyDescent="0.25">
      <c r="A55" s="4" t="str">
        <f>HYPERLINK("http://www.hopkinsmedicine.org/som/admissions/md/process/requirements.html","Johns Hopkins University School of Medicine")</f>
        <v>Johns Hopkins University School of Medicine</v>
      </c>
      <c r="B55" s="3" t="s">
        <v>272</v>
      </c>
      <c r="C55" s="3" t="s">
        <v>57</v>
      </c>
      <c r="D55" s="3" t="s">
        <v>22</v>
      </c>
      <c r="E55" s="3" t="s">
        <v>22</v>
      </c>
      <c r="F55" s="5" t="s">
        <v>273</v>
      </c>
      <c r="G55" s="5" t="s">
        <v>274</v>
      </c>
      <c r="H55" s="5" t="s">
        <v>275</v>
      </c>
      <c r="I55" s="21" t="s">
        <v>622</v>
      </c>
      <c r="J55" s="21" t="s">
        <v>626</v>
      </c>
      <c r="K55" s="21" t="s">
        <v>622</v>
      </c>
      <c r="L55" s="15" t="s">
        <v>22</v>
      </c>
      <c r="M55" s="19" t="s">
        <v>126</v>
      </c>
      <c r="N55" s="21" t="s">
        <v>622</v>
      </c>
      <c r="O55" s="19" t="s">
        <v>670</v>
      </c>
      <c r="P55" s="15" t="s">
        <v>276</v>
      </c>
      <c r="Q55" s="15" t="s">
        <v>277</v>
      </c>
      <c r="R55" s="19" t="s">
        <v>750</v>
      </c>
      <c r="S55" s="19" t="s">
        <v>751</v>
      </c>
      <c r="T55" s="3" t="s">
        <v>107</v>
      </c>
      <c r="U55" s="3" t="s">
        <v>44</v>
      </c>
      <c r="V55" s="6">
        <v>41182</v>
      </c>
      <c r="W55" s="7">
        <v>90</v>
      </c>
      <c r="X55" s="3" t="s">
        <v>69</v>
      </c>
      <c r="Y55" s="8" t="str">
        <f>HYPERLINK("http://www.hopkinsmedicine.org/som/admissions/md/application_process/prerequisites_requirements.html","Click Here For Prerequisites")</f>
        <v>Click Here For Prerequisites</v>
      </c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ht="90" customHeight="1" x14ac:dyDescent="0.25">
      <c r="A56" s="4" t="str">
        <f>HYPERLINK("http://www.usuhs.edu/medschool/pdf/WhatYouNeedtoKnow.pdf","Uniformed Services University of the Health Sciences, F. Edward Hebert School of Medicine")</f>
        <v>Uniformed Services University of the Health Sciences, F. Edward Hebert School of Medicine</v>
      </c>
      <c r="B56" s="3" t="s">
        <v>272</v>
      </c>
      <c r="C56" s="3" t="s">
        <v>21</v>
      </c>
      <c r="D56" s="3" t="s">
        <v>22</v>
      </c>
      <c r="E56" s="3" t="s">
        <v>23</v>
      </c>
      <c r="F56" s="5" t="s">
        <v>278</v>
      </c>
      <c r="G56" s="5" t="s">
        <v>279</v>
      </c>
      <c r="H56" s="5" t="s">
        <v>280</v>
      </c>
      <c r="I56" s="21" t="s">
        <v>622</v>
      </c>
      <c r="J56" s="21" t="s">
        <v>752</v>
      </c>
      <c r="K56" s="21" t="s">
        <v>622</v>
      </c>
      <c r="L56" s="15" t="s">
        <v>35</v>
      </c>
      <c r="M56" s="15" t="s">
        <v>23</v>
      </c>
      <c r="N56" s="21" t="s">
        <v>622</v>
      </c>
      <c r="O56" s="19" t="s">
        <v>65</v>
      </c>
      <c r="P56" s="15" t="s">
        <v>276</v>
      </c>
      <c r="Q56" s="15" t="s">
        <v>277</v>
      </c>
      <c r="R56" s="19" t="s">
        <v>750</v>
      </c>
      <c r="S56" s="15" t="s">
        <v>28</v>
      </c>
      <c r="T56" s="3" t="s">
        <v>281</v>
      </c>
      <c r="U56" s="3" t="s">
        <v>282</v>
      </c>
      <c r="V56" s="6">
        <v>41275</v>
      </c>
      <c r="W56" s="7">
        <v>0</v>
      </c>
      <c r="X56" s="3" t="s">
        <v>283</v>
      </c>
      <c r="Y56" s="8" t="str">
        <f>HYPERLINK("http://www.usuhs.mil/medschool/somfaq.html","Click Here For Prerequisites")</f>
        <v>Click Here For Prerequisites</v>
      </c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ht="153.75" customHeight="1" x14ac:dyDescent="0.25">
      <c r="A57" s="4" t="str">
        <f>HYPERLINK("http://medschool.umaryland.edu/admissions/appreq.asp","University of Maryland, School of Medicine")</f>
        <v>University of Maryland, School of Medicine</v>
      </c>
      <c r="B57" s="3" t="s">
        <v>272</v>
      </c>
      <c r="C57" s="3" t="s">
        <v>21</v>
      </c>
      <c r="D57" s="3" t="s">
        <v>22</v>
      </c>
      <c r="E57" s="3" t="s">
        <v>244</v>
      </c>
      <c r="F57" s="5" t="s">
        <v>284</v>
      </c>
      <c r="G57" s="5" t="s">
        <v>285</v>
      </c>
      <c r="H57" s="5" t="s">
        <v>286</v>
      </c>
      <c r="I57" s="21" t="s">
        <v>622</v>
      </c>
      <c r="J57" s="21" t="s">
        <v>752</v>
      </c>
      <c r="K57" s="21" t="s">
        <v>622</v>
      </c>
      <c r="L57" s="15" t="s">
        <v>35</v>
      </c>
      <c r="M57" s="15" t="s">
        <v>23</v>
      </c>
      <c r="N57" s="21" t="s">
        <v>622</v>
      </c>
      <c r="O57" s="15" t="s">
        <v>23</v>
      </c>
      <c r="P57" s="15" t="s">
        <v>23</v>
      </c>
      <c r="Q57" s="15" t="s">
        <v>35</v>
      </c>
      <c r="R57" s="19" t="s">
        <v>753</v>
      </c>
      <c r="S57" s="19" t="s">
        <v>23</v>
      </c>
      <c r="T57" s="3" t="s">
        <v>67</v>
      </c>
      <c r="U57" s="3" t="s">
        <v>30</v>
      </c>
      <c r="V57" s="6">
        <v>41298</v>
      </c>
      <c r="W57" s="3" t="s">
        <v>287</v>
      </c>
      <c r="X57" s="3" t="s">
        <v>69</v>
      </c>
      <c r="Y57" s="8" t="str">
        <f>HYPERLINK("http://medschool.umaryland.edu/admissions/appreq.asp","Click Here For Prerequisites")</f>
        <v>Click Here For Prerequisites</v>
      </c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ht="31.5" customHeight="1" x14ac:dyDescent="0.25">
      <c r="A58" s="23" t="str">
        <f>HYPERLINK("https://www.cmich.edu/colleges/cmed/students/Pages/Admissions%20Requirements.aspx","Central Michigan University College of Medicine NEW (Preliminary accreditation)")</f>
        <v>Central Michigan University College of Medicine NEW (Preliminary accreditation)</v>
      </c>
      <c r="B58" s="3" t="s">
        <v>288</v>
      </c>
      <c r="C58" s="3" t="s">
        <v>21</v>
      </c>
      <c r="D58" s="3" t="s">
        <v>22</v>
      </c>
      <c r="E58" s="3" t="s">
        <v>244</v>
      </c>
      <c r="F58" s="5" t="s">
        <v>289</v>
      </c>
      <c r="G58" s="5" t="s">
        <v>290</v>
      </c>
      <c r="H58" s="5" t="s">
        <v>291</v>
      </c>
      <c r="I58" s="21" t="s">
        <v>23</v>
      </c>
      <c r="J58" s="21" t="s">
        <v>754</v>
      </c>
      <c r="K58" s="21" t="s">
        <v>622</v>
      </c>
      <c r="L58" s="15" t="s">
        <v>23</v>
      </c>
      <c r="M58" s="19" t="s">
        <v>755</v>
      </c>
      <c r="N58" s="19" t="s">
        <v>617</v>
      </c>
      <c r="O58" s="15" t="s">
        <v>23</v>
      </c>
      <c r="P58" s="15" t="s">
        <v>23</v>
      </c>
      <c r="Q58" s="15" t="s">
        <v>23</v>
      </c>
      <c r="R58" s="19" t="s">
        <v>23</v>
      </c>
      <c r="S58" s="19" t="s">
        <v>756</v>
      </c>
      <c r="T58" s="3" t="s">
        <v>50</v>
      </c>
      <c r="U58" s="3" t="s">
        <v>30</v>
      </c>
      <c r="V58" s="6">
        <v>41182</v>
      </c>
      <c r="W58" s="7">
        <v>100</v>
      </c>
      <c r="X58" s="3" t="s">
        <v>31</v>
      </c>
      <c r="Y58" s="8" t="str">
        <f>HYPERLINK("https://www.cmich.edu/colleges/cmed/students/Pages/Admissions%20Requirements.aspx","Click Here For Prerequisites")</f>
        <v>Click Here For Prerequisites</v>
      </c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ht="82.5" customHeight="1" x14ac:dyDescent="0.25">
      <c r="A59" s="23" t="str">
        <f>HYPERLINK("http://mdadmissions.msu.edu/premedReqs/premed_reqs.php","Michigan State University College of Human Medicine")</f>
        <v>Michigan State University College of Human Medicine</v>
      </c>
      <c r="B59" s="3" t="s">
        <v>288</v>
      </c>
      <c r="C59" s="3" t="s">
        <v>21</v>
      </c>
      <c r="D59" s="3" t="s">
        <v>22</v>
      </c>
      <c r="E59" s="3" t="s">
        <v>244</v>
      </c>
      <c r="F59" s="5" t="s">
        <v>292</v>
      </c>
      <c r="G59" s="5" t="s">
        <v>293</v>
      </c>
      <c r="H59" s="5" t="s">
        <v>294</v>
      </c>
      <c r="I59" s="21" t="s">
        <v>758</v>
      </c>
      <c r="J59" s="21" t="s">
        <v>758</v>
      </c>
      <c r="K59" s="21" t="s">
        <v>758</v>
      </c>
      <c r="L59" s="15" t="s">
        <v>35</v>
      </c>
      <c r="M59" s="15" t="s">
        <v>295</v>
      </c>
      <c r="N59" s="19" t="s">
        <v>23</v>
      </c>
      <c r="O59" s="19" t="s">
        <v>759</v>
      </c>
      <c r="P59" s="15" t="s">
        <v>23</v>
      </c>
      <c r="Q59" s="15" t="s">
        <v>23</v>
      </c>
      <c r="R59" s="19" t="s">
        <v>760</v>
      </c>
      <c r="S59" s="19" t="s">
        <v>757</v>
      </c>
      <c r="T59" s="3" t="s">
        <v>296</v>
      </c>
      <c r="U59" s="3" t="s">
        <v>44</v>
      </c>
      <c r="V59" s="6">
        <v>40910</v>
      </c>
      <c r="W59" s="7">
        <v>90</v>
      </c>
      <c r="X59" s="3" t="s">
        <v>45</v>
      </c>
      <c r="Y59" s="8" t="str">
        <f>HYPERLINK("http://mdadmissions.msu.edu/premedReqs/premed_reqs.php","Click Here For Prerequisites")</f>
        <v>Click Here For Prerequisites</v>
      </c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ht="46.5" customHeight="1" x14ac:dyDescent="0.25">
      <c r="A60" s="4" t="str">
        <f>HYPERLINK("http://www.oakland.edu/medicine/admissions/requirements","Oakland University William Beaumont School of Medicine")</f>
        <v>Oakland University William Beaumont School of Medicine</v>
      </c>
      <c r="B60" s="3" t="s">
        <v>288</v>
      </c>
      <c r="C60" s="3" t="s">
        <v>21</v>
      </c>
      <c r="D60" s="3" t="s">
        <v>22</v>
      </c>
      <c r="E60" s="3" t="s">
        <v>244</v>
      </c>
      <c r="F60" s="5" t="s">
        <v>297</v>
      </c>
      <c r="G60" s="5" t="s">
        <v>298</v>
      </c>
      <c r="H60" s="5" t="s">
        <v>299</v>
      </c>
      <c r="I60" s="21" t="s">
        <v>622</v>
      </c>
      <c r="J60" s="21" t="s">
        <v>626</v>
      </c>
      <c r="K60" s="21" t="s">
        <v>622</v>
      </c>
      <c r="L60" s="15" t="s">
        <v>35</v>
      </c>
      <c r="M60" s="15" t="s">
        <v>23</v>
      </c>
      <c r="N60" s="21" t="s">
        <v>622</v>
      </c>
      <c r="O60" s="19" t="s">
        <v>670</v>
      </c>
      <c r="P60" s="15" t="s">
        <v>23</v>
      </c>
      <c r="Q60" s="15" t="s">
        <v>23</v>
      </c>
      <c r="R60" s="19" t="s">
        <v>617</v>
      </c>
      <c r="S60" s="19" t="s">
        <v>761</v>
      </c>
      <c r="T60" s="3" t="s">
        <v>29</v>
      </c>
      <c r="U60" s="3" t="s">
        <v>30</v>
      </c>
      <c r="V60" s="6">
        <v>41153</v>
      </c>
      <c r="W60" s="7">
        <v>75</v>
      </c>
      <c r="X60" s="3" t="s">
        <v>174</v>
      </c>
      <c r="Y60" s="8" t="str">
        <f>HYPERLINK("http://www.oakland.edu/medicine/admissions/requirements","Click Here For Prerequisites")</f>
        <v>Click Here For Prerequisites</v>
      </c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ht="31.5" customHeight="1" x14ac:dyDescent="0.25">
      <c r="A61" s="4" t="str">
        <f>HYPERLINK("http://med.umich.edu/medschool/admissions/apply/requirements.html","University of Michigan Medical School")</f>
        <v>University of Michigan Medical School</v>
      </c>
      <c r="B61" s="3" t="s">
        <v>288</v>
      </c>
      <c r="C61" s="3" t="s">
        <v>21</v>
      </c>
      <c r="D61" s="3" t="s">
        <v>22</v>
      </c>
      <c r="E61" s="3" t="s">
        <v>23</v>
      </c>
      <c r="F61" s="5" t="s">
        <v>300</v>
      </c>
      <c r="G61" s="5" t="s">
        <v>301</v>
      </c>
      <c r="H61" s="5" t="s">
        <v>302</v>
      </c>
      <c r="I61" s="21" t="s">
        <v>617</v>
      </c>
      <c r="J61" s="21" t="s">
        <v>617</v>
      </c>
      <c r="K61" s="21" t="s">
        <v>617</v>
      </c>
      <c r="L61" s="19" t="s">
        <v>617</v>
      </c>
      <c r="M61" s="15" t="s">
        <v>23</v>
      </c>
      <c r="N61" s="19" t="s">
        <v>617</v>
      </c>
      <c r="O61" s="15" t="s">
        <v>23</v>
      </c>
      <c r="P61" s="15" t="s">
        <v>23</v>
      </c>
      <c r="Q61" s="15" t="s">
        <v>23</v>
      </c>
      <c r="R61" s="19" t="s">
        <v>617</v>
      </c>
      <c r="S61" s="19" t="s">
        <v>28</v>
      </c>
      <c r="T61" s="3" t="s">
        <v>303</v>
      </c>
      <c r="U61" s="3" t="s">
        <v>44</v>
      </c>
      <c r="V61" s="6">
        <v>41275</v>
      </c>
      <c r="W61" s="7">
        <v>85</v>
      </c>
      <c r="X61" s="3" t="s">
        <v>45</v>
      </c>
      <c r="Y61" s="8" t="str">
        <f>HYPERLINK("http://medicine.umich.edu/medschool/education/md-program/md-admissions/requirements","Click Here For Prerequisites")</f>
        <v>Click Here For Prerequisites</v>
      </c>
      <c r="Z61" s="18" t="s">
        <v>762</v>
      </c>
      <c r="AA61" s="9"/>
      <c r="AB61" s="9"/>
      <c r="AC61" s="9"/>
      <c r="AD61" s="9"/>
      <c r="AE61" s="9"/>
      <c r="AF61" s="9"/>
      <c r="AG61" s="9"/>
      <c r="AH61" s="9"/>
      <c r="AI61" s="9"/>
    </row>
    <row r="62" spans="1:35" ht="31.5" customHeight="1" x14ac:dyDescent="0.25">
      <c r="A62" s="4" t="str">
        <f>HYPERLINK("http://admissions.med.wayne.edu/requirements.php","Wayne State University School of Medicine")</f>
        <v>Wayne State University School of Medicine</v>
      </c>
      <c r="B62" s="3" t="s">
        <v>288</v>
      </c>
      <c r="C62" s="3" t="s">
        <v>21</v>
      </c>
      <c r="D62" s="3" t="s">
        <v>22</v>
      </c>
      <c r="E62" s="3" t="s">
        <v>244</v>
      </c>
      <c r="F62" s="5" t="s">
        <v>304</v>
      </c>
      <c r="G62" s="5" t="s">
        <v>305</v>
      </c>
      <c r="H62" s="5" t="s">
        <v>306</v>
      </c>
      <c r="I62" s="21" t="s">
        <v>622</v>
      </c>
      <c r="J62" s="21" t="s">
        <v>622</v>
      </c>
      <c r="K62" s="21" t="s">
        <v>622</v>
      </c>
      <c r="L62" s="19" t="s">
        <v>35</v>
      </c>
      <c r="M62" s="19" t="s">
        <v>35</v>
      </c>
      <c r="N62" s="21" t="s">
        <v>622</v>
      </c>
      <c r="O62" s="19" t="s">
        <v>35</v>
      </c>
      <c r="P62" s="15" t="s">
        <v>23</v>
      </c>
      <c r="Q62" s="15" t="s">
        <v>35</v>
      </c>
      <c r="S62" s="19" t="s">
        <v>763</v>
      </c>
      <c r="T62" s="3" t="s">
        <v>107</v>
      </c>
      <c r="U62" s="3" t="s">
        <v>30</v>
      </c>
      <c r="V62" s="6">
        <v>40910</v>
      </c>
      <c r="W62" s="7">
        <v>100</v>
      </c>
      <c r="X62" s="3" t="s">
        <v>45</v>
      </c>
      <c r="Y62" s="8" t="str">
        <f>HYPERLINK("http://admissions.med.wayne.edu/requirements.php","Click Here For Prerequisites")</f>
        <v>Click Here For Prerequisites</v>
      </c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ht="60.75" customHeight="1" x14ac:dyDescent="0.25">
      <c r="A63" s="23" t="str">
        <f>HYPERLINK("http://med.wmich.edu/education/students/future-students/admission-requirements","Western Michigan University School of Medicine")</f>
        <v>Western Michigan University School of Medicine</v>
      </c>
      <c r="B63" s="3" t="s">
        <v>288</v>
      </c>
      <c r="C63" s="3" t="s">
        <v>57</v>
      </c>
      <c r="D63" s="3" t="s">
        <v>22</v>
      </c>
      <c r="E63" s="3" t="s">
        <v>23</v>
      </c>
      <c r="F63" s="5" t="s">
        <v>307</v>
      </c>
      <c r="G63" s="5" t="s">
        <v>308</v>
      </c>
      <c r="H63" s="5" t="s">
        <v>309</v>
      </c>
      <c r="I63" s="21" t="s">
        <v>617</v>
      </c>
      <c r="J63" s="21" t="s">
        <v>617</v>
      </c>
      <c r="K63" s="21" t="s">
        <v>617</v>
      </c>
      <c r="L63" s="15" t="s">
        <v>35</v>
      </c>
      <c r="M63" s="19" t="s">
        <v>755</v>
      </c>
      <c r="N63" s="21" t="s">
        <v>617</v>
      </c>
      <c r="O63" s="15" t="s">
        <v>23</v>
      </c>
      <c r="P63" s="15" t="s">
        <v>23</v>
      </c>
      <c r="Q63" s="19" t="s">
        <v>35</v>
      </c>
      <c r="R63" s="19" t="s">
        <v>23</v>
      </c>
      <c r="S63" s="15" t="s">
        <v>28</v>
      </c>
      <c r="T63" s="3" t="s">
        <v>296</v>
      </c>
      <c r="U63" s="3" t="s">
        <v>30</v>
      </c>
      <c r="V63" s="6">
        <v>41275</v>
      </c>
      <c r="W63" s="7">
        <v>85</v>
      </c>
      <c r="X63" s="3" t="s">
        <v>174</v>
      </c>
      <c r="Y63" s="8" t="str">
        <f>HYPERLINK("http://med.wmich.edu/education/students/future-students/admission-requirements","Click Here For Prerequisites")</f>
        <v>Click Here For Prerequisites</v>
      </c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ht="31.5" customHeight="1" x14ac:dyDescent="0.25">
      <c r="A64" s="4" t="str">
        <f>HYPERLINK("http://www.mayo.edu/mms/programs/md/admissions-and-application-process/prerequisites","Mayo Medical School")</f>
        <v>Mayo Medical School</v>
      </c>
      <c r="B64" s="3" t="s">
        <v>310</v>
      </c>
      <c r="C64" s="3" t="s">
        <v>57</v>
      </c>
      <c r="D64" s="3" t="s">
        <v>22</v>
      </c>
      <c r="E64" s="3" t="s">
        <v>244</v>
      </c>
      <c r="F64" s="5" t="s">
        <v>311</v>
      </c>
      <c r="G64" s="5" t="s">
        <v>312</v>
      </c>
      <c r="H64" s="5" t="s">
        <v>313</v>
      </c>
      <c r="I64" s="21" t="s">
        <v>622</v>
      </c>
      <c r="J64" s="21" t="s">
        <v>622</v>
      </c>
      <c r="K64" s="21" t="s">
        <v>622</v>
      </c>
      <c r="L64" s="15" t="s">
        <v>22</v>
      </c>
      <c r="M64" s="15" t="s">
        <v>23</v>
      </c>
      <c r="N64" s="21" t="s">
        <v>622</v>
      </c>
      <c r="O64" s="15" t="s">
        <v>23</v>
      </c>
      <c r="P64" s="15" t="s">
        <v>23</v>
      </c>
      <c r="Q64" s="15" t="s">
        <v>23</v>
      </c>
      <c r="R64" s="19" t="s">
        <v>23</v>
      </c>
      <c r="S64" s="15" t="s">
        <v>28</v>
      </c>
      <c r="T64" s="3" t="s">
        <v>67</v>
      </c>
      <c r="U64" s="3" t="s">
        <v>44</v>
      </c>
      <c r="V64" s="6">
        <v>41275</v>
      </c>
      <c r="W64" s="7">
        <v>120</v>
      </c>
      <c r="X64" s="3" t="s">
        <v>69</v>
      </c>
      <c r="Y64" s="8" t="str">
        <f>HYPERLINK("http://www.mayo.edu/mms/programs/md/admissions-and-application-process/prerequisites","Click Here For Prerequisites")</f>
        <v>Click Here For Prerequisites</v>
      </c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ht="141.75" customHeight="1" x14ac:dyDescent="0.25">
      <c r="A65" s="4" t="str">
        <f>HYPERLINK("http://www.med.umn.edu/medical-school-students/medical-school-admissions/prerequisites/index.htm","University of Minnesota Medical School-Twin Cities")</f>
        <v>University of Minnesota Medical School-Twin Cities</v>
      </c>
      <c r="B65" s="3" t="s">
        <v>310</v>
      </c>
      <c r="C65" s="3" t="s">
        <v>21</v>
      </c>
      <c r="D65" s="3" t="s">
        <v>22</v>
      </c>
      <c r="E65" s="3" t="s">
        <v>23</v>
      </c>
      <c r="F65" s="5" t="s">
        <v>314</v>
      </c>
      <c r="G65" s="5" t="s">
        <v>315</v>
      </c>
      <c r="H65" s="5" t="s">
        <v>316</v>
      </c>
      <c r="I65" s="21" t="s">
        <v>765</v>
      </c>
      <c r="J65" s="21" t="s">
        <v>766</v>
      </c>
      <c r="K65" s="21" t="s">
        <v>661</v>
      </c>
      <c r="L65" s="15" t="s">
        <v>35</v>
      </c>
      <c r="M65" s="19" t="s">
        <v>722</v>
      </c>
      <c r="N65" s="19" t="s">
        <v>767</v>
      </c>
      <c r="O65" s="15" t="s">
        <v>23</v>
      </c>
      <c r="P65" s="15" t="s">
        <v>23</v>
      </c>
      <c r="Q65" s="19" t="s">
        <v>35</v>
      </c>
      <c r="R65" s="19" t="s">
        <v>23</v>
      </c>
      <c r="S65" s="19" t="s">
        <v>764</v>
      </c>
      <c r="T65" s="3" t="s">
        <v>29</v>
      </c>
      <c r="U65" s="3" t="s">
        <v>28</v>
      </c>
      <c r="V65" s="6">
        <v>40909</v>
      </c>
      <c r="W65" s="7">
        <v>75</v>
      </c>
      <c r="X65" s="3" t="s">
        <v>45</v>
      </c>
      <c r="Y65" s="8" t="str">
        <f>HYPERLINK("http://www.med.umn.edu/medical-school-students/medical-school-admissions/prerequisites/index.htm","Click Here For Prerequisites")</f>
        <v>Click Here For Prerequisites</v>
      </c>
      <c r="Z65" s="19" t="s">
        <v>768</v>
      </c>
      <c r="AA65" s="9"/>
      <c r="AB65" s="9"/>
      <c r="AC65" s="9"/>
      <c r="AD65" s="9"/>
      <c r="AE65" s="9"/>
      <c r="AF65" s="9"/>
      <c r="AG65" s="9"/>
      <c r="AH65" s="9"/>
      <c r="AI65" s="9"/>
    </row>
    <row r="66" spans="1:35" ht="48" customHeight="1" x14ac:dyDescent="0.25">
      <c r="A66" s="4" t="str">
        <f>HYPERLINK("http://www.slu.edu/medicine/admissions/how-to-apply","Saint Louis University School of Medicine")</f>
        <v>Saint Louis University School of Medicine</v>
      </c>
      <c r="B66" s="3" t="s">
        <v>317</v>
      </c>
      <c r="C66" s="3" t="s">
        <v>57</v>
      </c>
      <c r="D66" s="3" t="s">
        <v>22</v>
      </c>
      <c r="E66" s="3" t="s">
        <v>22</v>
      </c>
      <c r="F66" s="5" t="s">
        <v>318</v>
      </c>
      <c r="G66" s="5" t="s">
        <v>319</v>
      </c>
      <c r="H66" s="5" t="s">
        <v>320</v>
      </c>
      <c r="I66" s="21" t="s">
        <v>622</v>
      </c>
      <c r="J66" s="21" t="s">
        <v>622</v>
      </c>
      <c r="K66" s="21" t="s">
        <v>622</v>
      </c>
      <c r="L66" s="19" t="s">
        <v>23</v>
      </c>
      <c r="M66" s="15" t="s">
        <v>23</v>
      </c>
      <c r="N66" s="21" t="s">
        <v>622</v>
      </c>
      <c r="O66" s="15" t="s">
        <v>23</v>
      </c>
      <c r="P66" s="15" t="s">
        <v>23</v>
      </c>
      <c r="Q66" s="15" t="s">
        <v>23</v>
      </c>
      <c r="R66" s="19" t="s">
        <v>670</v>
      </c>
      <c r="S66" s="19" t="s">
        <v>769</v>
      </c>
      <c r="T66" s="3" t="s">
        <v>107</v>
      </c>
      <c r="U66" s="3" t="s">
        <v>28</v>
      </c>
      <c r="V66" s="6">
        <v>40909</v>
      </c>
      <c r="W66" s="7">
        <v>100</v>
      </c>
      <c r="X66" s="3" t="s">
        <v>321</v>
      </c>
      <c r="Y66" s="8" t="str">
        <f>HYPERLINK("http://www.slu.edu/medicine/admissions/how-to-apply","Click Here For Prerequisites")</f>
        <v>Click Here For Prerequisites</v>
      </c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ht="90.75" customHeight="1" x14ac:dyDescent="0.25">
      <c r="A67" s="4" t="str">
        <f>HYPERLINK("http://medicine.missouri.edu/admissions/regular.html","University of Missouri-Columbia School of Medicine")</f>
        <v>University of Missouri-Columbia School of Medicine</v>
      </c>
      <c r="B67" s="3" t="s">
        <v>317</v>
      </c>
      <c r="C67" s="3" t="s">
        <v>21</v>
      </c>
      <c r="D67" s="3" t="s">
        <v>22</v>
      </c>
      <c r="E67" s="3" t="s">
        <v>23</v>
      </c>
      <c r="F67" s="5" t="s">
        <v>322</v>
      </c>
      <c r="G67" s="5" t="s">
        <v>323</v>
      </c>
      <c r="H67" s="5" t="s">
        <v>324</v>
      </c>
      <c r="I67" s="21" t="s">
        <v>622</v>
      </c>
      <c r="J67" s="21" t="s">
        <v>622</v>
      </c>
      <c r="K67" s="21" t="s">
        <v>622</v>
      </c>
      <c r="L67" s="19" t="s">
        <v>35</v>
      </c>
      <c r="M67" s="19" t="s">
        <v>772</v>
      </c>
      <c r="N67" s="21" t="s">
        <v>622</v>
      </c>
      <c r="O67" s="19" t="s">
        <v>65</v>
      </c>
      <c r="P67" s="15" t="s">
        <v>23</v>
      </c>
      <c r="Q67" s="15" t="s">
        <v>23</v>
      </c>
      <c r="R67" s="15" t="s">
        <v>771</v>
      </c>
      <c r="S67" s="19" t="s">
        <v>23</v>
      </c>
      <c r="T67" s="3" t="s">
        <v>325</v>
      </c>
      <c r="U67" s="3" t="s">
        <v>44</v>
      </c>
      <c r="V67" s="6">
        <v>40909</v>
      </c>
      <c r="W67" s="7">
        <v>75</v>
      </c>
      <c r="X67" s="3" t="s">
        <v>69</v>
      </c>
      <c r="Y67" s="8" t="str">
        <f>HYPERLINK("http://medicine.missouri.edu/admissions/regular.html","Click Here For Prerequisites")</f>
        <v>Click Here For Prerequisites</v>
      </c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ht="48" customHeight="1" x14ac:dyDescent="0.25">
      <c r="A68" s="4" t="str">
        <f>HYPERLINK("http://med.umkc.edu/md/requirements/","University of Missouri-Kansas City School of Medicine")</f>
        <v>University of Missouri-Kansas City School of Medicine</v>
      </c>
      <c r="B68" s="3" t="s">
        <v>317</v>
      </c>
      <c r="C68" s="3" t="s">
        <v>21</v>
      </c>
      <c r="D68" s="3" t="s">
        <v>22</v>
      </c>
      <c r="E68" s="3" t="s">
        <v>23</v>
      </c>
      <c r="F68" s="5" t="s">
        <v>326</v>
      </c>
      <c r="G68" s="5" t="s">
        <v>327</v>
      </c>
      <c r="H68" s="5" t="s">
        <v>328</v>
      </c>
      <c r="I68" s="21" t="s">
        <v>617</v>
      </c>
      <c r="J68" s="21" t="s">
        <v>617</v>
      </c>
      <c r="K68" s="21" t="s">
        <v>617</v>
      </c>
      <c r="L68" s="15" t="s">
        <v>22</v>
      </c>
      <c r="M68" s="19" t="s">
        <v>773</v>
      </c>
      <c r="N68" s="21" t="s">
        <v>617</v>
      </c>
      <c r="O68" s="19" t="s">
        <v>65</v>
      </c>
      <c r="P68" s="15" t="s">
        <v>23</v>
      </c>
      <c r="Q68" s="15" t="s">
        <v>23</v>
      </c>
      <c r="R68" s="19" t="s">
        <v>23</v>
      </c>
      <c r="S68" s="19" t="s">
        <v>23</v>
      </c>
      <c r="T68" s="3" t="s">
        <v>50</v>
      </c>
      <c r="U68" s="3" t="s">
        <v>30</v>
      </c>
      <c r="V68" s="6">
        <v>41122</v>
      </c>
      <c r="W68" s="3" t="s">
        <v>329</v>
      </c>
      <c r="X68" s="3" t="s">
        <v>69</v>
      </c>
      <c r="Y68" s="8" t="str">
        <f>HYPERLINK("http://med.umkc.edu/md/requirements/","Click Here For Prerequisites")</f>
        <v>Click Here For Prerequisites</v>
      </c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ht="142.5" customHeight="1" x14ac:dyDescent="0.25">
      <c r="A69" s="23" t="str">
        <f>HYPERLINK("http://medadmissions.wustl.edu/HowtoApply/ApplicationProcess/Pages/Requirements.aspx","Washington University School of Medicine")</f>
        <v>Washington University School of Medicine</v>
      </c>
      <c r="B69" s="3" t="s">
        <v>317</v>
      </c>
      <c r="C69" s="3" t="s">
        <v>57</v>
      </c>
      <c r="D69" s="3" t="s">
        <v>22</v>
      </c>
      <c r="E69" s="3" t="s">
        <v>22</v>
      </c>
      <c r="F69" s="5" t="s">
        <v>330</v>
      </c>
      <c r="G69" s="5" t="s">
        <v>331</v>
      </c>
      <c r="H69" s="5" t="s">
        <v>332</v>
      </c>
      <c r="I69" s="21" t="s">
        <v>27</v>
      </c>
      <c r="J69" s="21" t="s">
        <v>770</v>
      </c>
      <c r="K69" s="21" t="s">
        <v>27</v>
      </c>
      <c r="L69" s="19" t="s">
        <v>35</v>
      </c>
      <c r="M69" s="15" t="s">
        <v>23</v>
      </c>
      <c r="N69" s="19" t="s">
        <v>27</v>
      </c>
      <c r="O69" s="19" t="s">
        <v>22</v>
      </c>
      <c r="P69" s="15" t="s">
        <v>333</v>
      </c>
      <c r="Q69" s="15" t="s">
        <v>23</v>
      </c>
      <c r="R69" s="19" t="s">
        <v>23</v>
      </c>
      <c r="S69" s="15" t="s">
        <v>28</v>
      </c>
      <c r="T69" s="3" t="s">
        <v>116</v>
      </c>
      <c r="U69" s="3" t="s">
        <v>44</v>
      </c>
      <c r="V69" s="6">
        <v>41153</v>
      </c>
      <c r="W69" s="7">
        <v>80</v>
      </c>
      <c r="X69" s="3" t="s">
        <v>31</v>
      </c>
      <c r="Y69" s="8" t="str">
        <f>HYPERLINK("http://medadmissions.wustl.edu/HowtoApply/ApplicationProcess/Pages/Requirements.aspx","Click Here For Prerequisites")</f>
        <v>Click Here For Prerequisites</v>
      </c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ht="81" customHeight="1" x14ac:dyDescent="0.25">
      <c r="A70" s="4" t="str">
        <f>HYPERLINK("http://www.umc.edu/Education/Schools/Medicine/SOM_Admissions/Admissions_Criteria.aspx","University of Mississippi School of Medicine")</f>
        <v>University of Mississippi School of Medicine</v>
      </c>
      <c r="B70" s="3" t="s">
        <v>334</v>
      </c>
      <c r="C70" s="3" t="s">
        <v>21</v>
      </c>
      <c r="D70" s="3" t="s">
        <v>23</v>
      </c>
      <c r="E70" s="3" t="s">
        <v>23</v>
      </c>
      <c r="F70" s="5" t="s">
        <v>335</v>
      </c>
      <c r="G70" s="5" t="s">
        <v>336</v>
      </c>
      <c r="H70" s="5" t="s">
        <v>337</v>
      </c>
      <c r="I70" s="21" t="s">
        <v>622</v>
      </c>
      <c r="J70" s="21" t="s">
        <v>622</v>
      </c>
      <c r="K70" s="21" t="s">
        <v>622</v>
      </c>
      <c r="L70" s="19" t="s">
        <v>23</v>
      </c>
      <c r="M70" s="19" t="s">
        <v>775</v>
      </c>
      <c r="N70" s="21" t="s">
        <v>622</v>
      </c>
      <c r="O70" s="19" t="s">
        <v>670</v>
      </c>
      <c r="P70" s="19" t="s">
        <v>65</v>
      </c>
      <c r="Q70" s="19" t="s">
        <v>23</v>
      </c>
      <c r="R70" s="19" t="s">
        <v>774</v>
      </c>
      <c r="S70" s="19" t="s">
        <v>776</v>
      </c>
      <c r="T70" s="3" t="s">
        <v>50</v>
      </c>
      <c r="U70" s="3" t="s">
        <v>130</v>
      </c>
      <c r="V70" s="6">
        <v>40909</v>
      </c>
      <c r="W70" s="7">
        <v>50</v>
      </c>
      <c r="X70" s="3" t="s">
        <v>45</v>
      </c>
      <c r="Y70" s="8" t="str">
        <f>HYPERLINK("http://www.umc.edu/Education/Schools/Medicine/SOM_Admissions/Admissions_Criteria.aspx","Click Here For Prerequisites")</f>
        <v>Click Here For Prerequisites</v>
      </c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ht="75.75" customHeight="1" x14ac:dyDescent="0.25">
      <c r="A71" s="4" t="str">
        <f>HYPERLINK("http://dukemed.duke.edu/modules/ooa_applicant/index.php?id=21","Duke University School of Medicine")</f>
        <v>Duke University School of Medicine</v>
      </c>
      <c r="B71" s="3" t="s">
        <v>339</v>
      </c>
      <c r="C71" s="3" t="s">
        <v>57</v>
      </c>
      <c r="D71" s="3" t="s">
        <v>22</v>
      </c>
      <c r="E71" s="3" t="s">
        <v>22</v>
      </c>
      <c r="F71" s="5" t="s">
        <v>340</v>
      </c>
      <c r="G71" s="5" t="s">
        <v>341</v>
      </c>
      <c r="H71" s="5" t="s">
        <v>342</v>
      </c>
      <c r="I71" s="21" t="s">
        <v>23</v>
      </c>
      <c r="J71" s="21" t="s">
        <v>23</v>
      </c>
      <c r="K71" s="21" t="s">
        <v>779</v>
      </c>
      <c r="L71" s="15" t="s">
        <v>22</v>
      </c>
      <c r="M71" s="15" t="s">
        <v>23</v>
      </c>
      <c r="N71" s="19" t="s">
        <v>27</v>
      </c>
      <c r="O71" s="15" t="s">
        <v>23</v>
      </c>
      <c r="P71" s="15" t="s">
        <v>23</v>
      </c>
      <c r="Q71" s="19" t="s">
        <v>22</v>
      </c>
      <c r="R71" s="19" t="s">
        <v>777</v>
      </c>
      <c r="S71" s="19" t="s">
        <v>778</v>
      </c>
      <c r="T71" s="3" t="s">
        <v>50</v>
      </c>
      <c r="U71" s="3" t="s">
        <v>343</v>
      </c>
      <c r="V71" s="6">
        <v>41122</v>
      </c>
      <c r="W71" s="7">
        <v>85</v>
      </c>
      <c r="X71" s="3" t="s">
        <v>31</v>
      </c>
      <c r="Y71" s="8" t="str">
        <f>HYPERLINK("http://dukemed.duke.edu/modules/ooa_applicant/index.php?id=21","Click Here For Prerequisites")</f>
        <v>Click Here For Prerequisites</v>
      </c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ht="96.75" customHeight="1" x14ac:dyDescent="0.25">
      <c r="A72" s="4" t="str">
        <f>HYPERLINK("http://www.ecu.edu/cs-dhs/bsomadmissions/require.cfm","The Brody School of Medicine at East Carolina University")</f>
        <v>The Brody School of Medicine at East Carolina University</v>
      </c>
      <c r="B72" s="3" t="s">
        <v>339</v>
      </c>
      <c r="C72" s="3" t="s">
        <v>21</v>
      </c>
      <c r="D72" s="3" t="s">
        <v>23</v>
      </c>
      <c r="E72" s="3" t="s">
        <v>23</v>
      </c>
      <c r="F72" s="5" t="s">
        <v>344</v>
      </c>
      <c r="G72" s="5" t="s">
        <v>345</v>
      </c>
      <c r="H72" s="5" t="s">
        <v>346</v>
      </c>
      <c r="I72" s="21" t="s">
        <v>622</v>
      </c>
      <c r="J72" s="21" t="s">
        <v>622</v>
      </c>
      <c r="K72" s="21" t="s">
        <v>622</v>
      </c>
      <c r="L72" s="19" t="s">
        <v>35</v>
      </c>
      <c r="M72" s="19" t="s">
        <v>722</v>
      </c>
      <c r="N72" s="21" t="s">
        <v>622</v>
      </c>
      <c r="O72" s="15" t="s">
        <v>23</v>
      </c>
      <c r="P72" s="15" t="s">
        <v>23</v>
      </c>
      <c r="Q72" s="19" t="s">
        <v>35</v>
      </c>
      <c r="R72" s="19" t="s">
        <v>781</v>
      </c>
      <c r="S72" s="19" t="s">
        <v>782</v>
      </c>
      <c r="T72" s="3" t="s">
        <v>347</v>
      </c>
      <c r="U72" s="3" t="s">
        <v>348</v>
      </c>
      <c r="V72" s="6">
        <v>40909</v>
      </c>
      <c r="W72" s="7">
        <v>70</v>
      </c>
      <c r="X72" s="3" t="s">
        <v>31</v>
      </c>
      <c r="Y72" s="8" t="str">
        <f>HYPERLINK("http://www.ecu.edu/cs-dhs/bsomadmissions/require.cfm","Click Here For Prerequisites")</f>
        <v>Click Here For Prerequisites</v>
      </c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ht="73.5" customHeight="1" x14ac:dyDescent="0.25">
      <c r="A73" s="4" t="str">
        <f>HYPERLINK("http://www.med.unc.edu/admit/requirements-1/academic-requirements","University of North Carolina at Chapel Hill School of Medicine")</f>
        <v>University of North Carolina at Chapel Hill School of Medicine</v>
      </c>
      <c r="B73" s="3" t="s">
        <v>339</v>
      </c>
      <c r="C73" s="3" t="s">
        <v>21</v>
      </c>
      <c r="D73" s="3" t="s">
        <v>22</v>
      </c>
      <c r="E73" s="3" t="s">
        <v>22</v>
      </c>
      <c r="F73" s="5" t="s">
        <v>349</v>
      </c>
      <c r="G73" s="5" t="s">
        <v>350</v>
      </c>
      <c r="H73" s="5" t="s">
        <v>351</v>
      </c>
      <c r="I73" s="21" t="s">
        <v>622</v>
      </c>
      <c r="J73" s="21" t="s">
        <v>622</v>
      </c>
      <c r="K73" s="21" t="s">
        <v>783</v>
      </c>
      <c r="L73" s="19" t="s">
        <v>35</v>
      </c>
      <c r="M73" s="19" t="s">
        <v>784</v>
      </c>
      <c r="N73" s="21" t="s">
        <v>622</v>
      </c>
      <c r="O73" s="15" t="s">
        <v>23</v>
      </c>
      <c r="P73" s="15" t="s">
        <v>23</v>
      </c>
      <c r="Q73" s="15" t="s">
        <v>23</v>
      </c>
      <c r="R73" s="19" t="s">
        <v>785</v>
      </c>
      <c r="S73" s="19" t="s">
        <v>786</v>
      </c>
      <c r="T73" s="3" t="s">
        <v>116</v>
      </c>
      <c r="U73" s="3" t="s">
        <v>130</v>
      </c>
      <c r="V73" s="6">
        <v>41535</v>
      </c>
      <c r="W73" s="7">
        <v>68</v>
      </c>
      <c r="X73" s="3" t="s">
        <v>31</v>
      </c>
      <c r="Y73" s="8" t="str">
        <f>HYPERLINK("http://www.med.unc.edu/admit/requirements-1/academic-requirements","Click Here For Prerequisites")</f>
        <v>Click Here For Prerequisites</v>
      </c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ht="31.5" customHeight="1" x14ac:dyDescent="0.25">
      <c r="A74" s="23" t="str">
        <f>HYPERLINK("http://www.wakehealth.edu/School/Admissions/#credits","Wake Forest School of Medicine of Wake Forest Baptist Medical Center")</f>
        <v>Wake Forest School of Medicine of Wake Forest Baptist Medical Center</v>
      </c>
      <c r="B74" s="3" t="s">
        <v>339</v>
      </c>
      <c r="C74" s="3" t="s">
        <v>57</v>
      </c>
      <c r="D74" s="3" t="s">
        <v>22</v>
      </c>
      <c r="E74" s="3" t="s">
        <v>23</v>
      </c>
      <c r="F74" s="5" t="s">
        <v>352</v>
      </c>
      <c r="G74" s="5" t="s">
        <v>353</v>
      </c>
      <c r="H74" s="5" t="s">
        <v>354</v>
      </c>
      <c r="I74" s="21" t="s">
        <v>617</v>
      </c>
      <c r="J74" s="21" t="s">
        <v>617</v>
      </c>
      <c r="K74" s="21" t="s">
        <v>617</v>
      </c>
      <c r="L74" s="15" t="s">
        <v>23</v>
      </c>
      <c r="M74" s="15" t="s">
        <v>23</v>
      </c>
      <c r="N74" s="19" t="s">
        <v>617</v>
      </c>
      <c r="O74" s="19" t="s">
        <v>617</v>
      </c>
      <c r="P74" s="15" t="s">
        <v>23</v>
      </c>
      <c r="Q74" s="15" t="s">
        <v>23</v>
      </c>
      <c r="R74" s="19" t="s">
        <v>23</v>
      </c>
      <c r="S74" s="19" t="s">
        <v>780</v>
      </c>
      <c r="T74" s="3" t="s">
        <v>183</v>
      </c>
      <c r="U74" s="3" t="s">
        <v>44</v>
      </c>
      <c r="V74" s="6">
        <v>41000</v>
      </c>
      <c r="W74" s="7">
        <v>125</v>
      </c>
      <c r="X74" s="3" t="s">
        <v>31</v>
      </c>
      <c r="Y74" s="8" t="str">
        <f>HYPERLINK("http://www.wakehealth.edu/School/Admissions/#credits","Click Here For Prerequisites")</f>
        <v>Click Here For Prerequisites</v>
      </c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ht="98.25" customHeight="1" x14ac:dyDescent="0.25">
      <c r="A75" s="4" t="str">
        <f>HYPERLINK("http://www.med.und.edu/student-affairs-admissions/prerequisites.cfm","University of North Dakota-School of Medicine and Health Sciences")</f>
        <v>University of North Dakota-School of Medicine and Health Sciences</v>
      </c>
      <c r="B75" s="3" t="s">
        <v>355</v>
      </c>
      <c r="C75" s="3" t="s">
        <v>21</v>
      </c>
      <c r="D75" s="3" t="s">
        <v>30</v>
      </c>
      <c r="E75" s="3" t="s">
        <v>23</v>
      </c>
      <c r="F75" s="5" t="s">
        <v>356</v>
      </c>
      <c r="G75" s="5" t="s">
        <v>357</v>
      </c>
      <c r="H75" s="5" t="s">
        <v>358</v>
      </c>
      <c r="I75" s="21" t="s">
        <v>622</v>
      </c>
      <c r="J75" s="21" t="s">
        <v>787</v>
      </c>
      <c r="K75" s="21" t="s">
        <v>622</v>
      </c>
      <c r="L75" s="15" t="s">
        <v>23</v>
      </c>
      <c r="M75" s="15" t="s">
        <v>23</v>
      </c>
      <c r="N75" s="21" t="s">
        <v>622</v>
      </c>
      <c r="O75" s="19" t="s">
        <v>65</v>
      </c>
      <c r="P75" s="19" t="s">
        <v>789</v>
      </c>
      <c r="Q75" s="19" t="s">
        <v>790</v>
      </c>
      <c r="R75" s="19" t="s">
        <v>791</v>
      </c>
      <c r="S75" s="19" t="s">
        <v>788</v>
      </c>
      <c r="T75" s="3" t="s">
        <v>359</v>
      </c>
      <c r="U75" s="3" t="s">
        <v>30</v>
      </c>
      <c r="V75" s="6">
        <v>41167</v>
      </c>
      <c r="W75" s="7">
        <v>50</v>
      </c>
      <c r="X75" s="3" t="s">
        <v>69</v>
      </c>
      <c r="Y75" s="8" t="str">
        <f>HYPERLINK("http://www.med.und.edu/student-affairs-admissions/prerequisites.cfm","Click Here For Prerequisites")</f>
        <v>Click Here For Prerequisites</v>
      </c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ht="116.25" customHeight="1" x14ac:dyDescent="0.25">
      <c r="A76" s="4" t="str">
        <f>HYPERLINK("http://medschool.creighton.edu/medicine/oma/app/req/index.php","Creighton University School of Medicine")</f>
        <v>Creighton University School of Medicine</v>
      </c>
      <c r="B76" s="3" t="s">
        <v>360</v>
      </c>
      <c r="C76" s="3" t="s">
        <v>57</v>
      </c>
      <c r="D76" s="3" t="s">
        <v>22</v>
      </c>
      <c r="E76" s="3" t="s">
        <v>23</v>
      </c>
      <c r="F76" s="5" t="s">
        <v>361</v>
      </c>
      <c r="G76" s="5" t="s">
        <v>362</v>
      </c>
      <c r="H76" s="5" t="s">
        <v>363</v>
      </c>
      <c r="I76" s="21" t="s">
        <v>617</v>
      </c>
      <c r="J76" s="21" t="s">
        <v>23</v>
      </c>
      <c r="K76" s="21" t="s">
        <v>617</v>
      </c>
      <c r="L76" s="15" t="s">
        <v>22</v>
      </c>
      <c r="M76" s="19" t="s">
        <v>792</v>
      </c>
      <c r="N76" s="19" t="s">
        <v>23</v>
      </c>
      <c r="O76" s="19" t="s">
        <v>65</v>
      </c>
      <c r="P76" s="15" t="s">
        <v>23</v>
      </c>
      <c r="Q76" s="15" t="s">
        <v>22</v>
      </c>
      <c r="R76" s="19" t="s">
        <v>774</v>
      </c>
      <c r="S76" s="15" t="s">
        <v>28</v>
      </c>
      <c r="T76" s="3" t="s">
        <v>325</v>
      </c>
      <c r="U76" s="3" t="s">
        <v>30</v>
      </c>
      <c r="V76" s="6">
        <v>41275</v>
      </c>
      <c r="W76" s="7">
        <v>95</v>
      </c>
      <c r="X76" s="3" t="s">
        <v>31</v>
      </c>
      <c r="Y76" s="8" t="str">
        <f>HYPERLINK("http://medschool.creighton.edu/medicine/oma/app/req/index.php","Click Here For Prerequisites")</f>
        <v>Click Here For Prerequisites</v>
      </c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ht="63.75" customHeight="1" x14ac:dyDescent="0.25">
      <c r="A77" s="23" t="str">
        <f>HYPERLINK("http://www.unmc.edu/com/entrance.htm","University of Nebraska College of Medicine")</f>
        <v>University of Nebraska College of Medicine</v>
      </c>
      <c r="B77" s="3" t="s">
        <v>360</v>
      </c>
      <c r="C77" s="3" t="s">
        <v>21</v>
      </c>
      <c r="D77" s="3" t="s">
        <v>22</v>
      </c>
      <c r="E77" s="3" t="s">
        <v>23</v>
      </c>
      <c r="F77" s="5" t="s">
        <v>364</v>
      </c>
      <c r="G77" s="5" t="s">
        <v>365</v>
      </c>
      <c r="H77" s="5" t="s">
        <v>366</v>
      </c>
      <c r="I77" s="21" t="s">
        <v>622</v>
      </c>
      <c r="J77" s="21" t="s">
        <v>622</v>
      </c>
      <c r="K77" s="21" t="s">
        <v>622</v>
      </c>
      <c r="L77" s="19" t="s">
        <v>689</v>
      </c>
      <c r="M77" s="19" t="s">
        <v>793</v>
      </c>
      <c r="N77" s="21" t="s">
        <v>622</v>
      </c>
      <c r="O77" s="19" t="s">
        <v>65</v>
      </c>
      <c r="P77" s="19" t="s">
        <v>789</v>
      </c>
      <c r="Q77" s="19" t="s">
        <v>790</v>
      </c>
      <c r="R77" s="19" t="s">
        <v>794</v>
      </c>
      <c r="S77" s="19" t="s">
        <v>795</v>
      </c>
      <c r="T77" s="3" t="s">
        <v>367</v>
      </c>
      <c r="U77" s="3" t="s">
        <v>30</v>
      </c>
      <c r="V77" s="6">
        <v>41275</v>
      </c>
      <c r="W77" s="7">
        <v>70</v>
      </c>
      <c r="X77" s="3" t="s">
        <v>45</v>
      </c>
      <c r="Y77" s="8" t="str">
        <f>HYPERLINK("http://www.unmc.edu/com/entrance.htm","Click Here For Prerequisites")</f>
        <v>Click Here For Prerequisites</v>
      </c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ht="31.5" customHeight="1" x14ac:dyDescent="0.25">
      <c r="A78" s="4" t="str">
        <f>HYPERLINK("http://geiselmed.dartmouth.edu/admissions/admission/","Geisel School of Medicine at Dartmouth")</f>
        <v>Geisel School of Medicine at Dartmouth</v>
      </c>
      <c r="B78" s="3" t="s">
        <v>368</v>
      </c>
      <c r="C78" s="3" t="s">
        <v>57</v>
      </c>
      <c r="D78" s="3" t="s">
        <v>22</v>
      </c>
      <c r="E78" s="3" t="s">
        <v>22</v>
      </c>
      <c r="F78" s="5" t="s">
        <v>369</v>
      </c>
      <c r="G78" s="5" t="s">
        <v>370</v>
      </c>
      <c r="H78" s="5" t="s">
        <v>371</v>
      </c>
      <c r="I78" s="21" t="s">
        <v>729</v>
      </c>
      <c r="J78" s="21" t="s">
        <v>729</v>
      </c>
      <c r="K78" s="21" t="s">
        <v>622</v>
      </c>
      <c r="L78" s="19" t="s">
        <v>22</v>
      </c>
      <c r="M78" s="15" t="s">
        <v>23</v>
      </c>
      <c r="N78" s="21" t="s">
        <v>622</v>
      </c>
      <c r="O78" s="19" t="s">
        <v>65</v>
      </c>
      <c r="P78" s="15" t="s">
        <v>372</v>
      </c>
      <c r="Q78" s="15" t="s">
        <v>373</v>
      </c>
      <c r="R78" s="19" t="s">
        <v>23</v>
      </c>
      <c r="S78" s="15" t="s">
        <v>28</v>
      </c>
      <c r="T78" s="3" t="s">
        <v>67</v>
      </c>
      <c r="U78" s="3" t="s">
        <v>30</v>
      </c>
      <c r="V78" s="6">
        <v>41275</v>
      </c>
      <c r="W78" s="7">
        <v>130</v>
      </c>
      <c r="X78" s="3" t="s">
        <v>69</v>
      </c>
      <c r="Y78" s="8" t="str">
        <f>HYPERLINK("http://geiselmed.dartmouth.edu/admissions/admission/","Click Here For Prerequisites")</f>
        <v>Click Here For Prerequisites</v>
      </c>
      <c r="Z78" s="18" t="s">
        <v>796</v>
      </c>
      <c r="AA78" s="9"/>
      <c r="AB78" s="9"/>
      <c r="AC78" s="9"/>
      <c r="AD78" s="9"/>
      <c r="AE78" s="9"/>
      <c r="AF78" s="9"/>
      <c r="AG78" s="9"/>
      <c r="AH78" s="9"/>
      <c r="AI78" s="9"/>
    </row>
    <row r="79" spans="1:35" ht="64.5" customHeight="1" x14ac:dyDescent="0.25">
      <c r="A79" s="23" t="str">
        <f>HYPERLINK("http://www.rowan.edu/coopermed/students/admissions/prerequisites.php","Cooper Medical School of Rowan University")</f>
        <v>Cooper Medical School of Rowan University</v>
      </c>
      <c r="B79" s="3" t="s">
        <v>374</v>
      </c>
      <c r="C79" s="3" t="s">
        <v>21</v>
      </c>
      <c r="D79" s="3" t="s">
        <v>22</v>
      </c>
      <c r="E79" s="3" t="s">
        <v>23</v>
      </c>
      <c r="F79" s="5" t="s">
        <v>375</v>
      </c>
      <c r="G79" s="5" t="s">
        <v>376</v>
      </c>
      <c r="H79" s="5" t="s">
        <v>377</v>
      </c>
      <c r="I79" s="21" t="s">
        <v>729</v>
      </c>
      <c r="J79" s="21" t="s">
        <v>729</v>
      </c>
      <c r="K79" s="21" t="s">
        <v>622</v>
      </c>
      <c r="L79" s="19" t="s">
        <v>35</v>
      </c>
      <c r="M79" s="15" t="s">
        <v>23</v>
      </c>
      <c r="N79" s="19" t="s">
        <v>711</v>
      </c>
      <c r="O79" s="15" t="s">
        <v>23</v>
      </c>
      <c r="P79" s="15" t="s">
        <v>23</v>
      </c>
      <c r="Q79" s="19" t="s">
        <v>35</v>
      </c>
      <c r="R79" s="19" t="s">
        <v>798</v>
      </c>
      <c r="S79" s="19" t="s">
        <v>799</v>
      </c>
      <c r="T79" s="3" t="s">
        <v>378</v>
      </c>
      <c r="U79" s="3" t="s">
        <v>30</v>
      </c>
      <c r="V79" s="6">
        <v>41275</v>
      </c>
      <c r="W79" s="7">
        <v>100</v>
      </c>
      <c r="X79" s="3" t="s">
        <v>45</v>
      </c>
      <c r="Y79" s="8" t="str">
        <f>HYPERLINK("http://www.rowan.edu/coopermed/students/admissions/prerequisites.php","Click Here For Prerequisites")</f>
        <v>Click Here For Prerequisites</v>
      </c>
      <c r="Z79" s="18" t="s">
        <v>797</v>
      </c>
      <c r="AA79" s="9"/>
      <c r="AB79" s="9"/>
      <c r="AC79" s="9"/>
      <c r="AD79" s="9"/>
      <c r="AE79" s="9"/>
      <c r="AF79" s="9"/>
      <c r="AG79" s="9"/>
      <c r="AH79" s="9"/>
      <c r="AI79" s="9"/>
    </row>
    <row r="80" spans="1:35" ht="67.5" customHeight="1" x14ac:dyDescent="0.25">
      <c r="A80" s="23" t="str">
        <f>HYPERLINK("http://njms.umdnj.edu/admissions/prospective/apply_requirements.cfm","Rutgers New Jersey Medical School")</f>
        <v>Rutgers New Jersey Medical School</v>
      </c>
      <c r="B80" s="3" t="s">
        <v>374</v>
      </c>
      <c r="C80" s="3" t="s">
        <v>21</v>
      </c>
      <c r="D80" s="3" t="s">
        <v>22</v>
      </c>
      <c r="E80" s="3" t="s">
        <v>22</v>
      </c>
      <c r="F80" s="5" t="s">
        <v>379</v>
      </c>
      <c r="G80" s="5" t="s">
        <v>380</v>
      </c>
      <c r="H80" s="5" t="s">
        <v>381</v>
      </c>
      <c r="I80" s="21" t="s">
        <v>622</v>
      </c>
      <c r="J80" s="21" t="s">
        <v>622</v>
      </c>
      <c r="K80" s="21" t="s">
        <v>622</v>
      </c>
      <c r="L80" s="19" t="s">
        <v>35</v>
      </c>
      <c r="M80" s="19" t="s">
        <v>722</v>
      </c>
      <c r="N80" s="21" t="s">
        <v>622</v>
      </c>
      <c r="O80" s="19" t="s">
        <v>35</v>
      </c>
      <c r="P80" s="15" t="s">
        <v>23</v>
      </c>
      <c r="Q80" s="15" t="s">
        <v>23</v>
      </c>
      <c r="R80" s="19" t="s">
        <v>800</v>
      </c>
      <c r="S80" s="15" t="s">
        <v>28</v>
      </c>
      <c r="T80" s="3" t="s">
        <v>67</v>
      </c>
      <c r="U80" s="3" t="s">
        <v>30</v>
      </c>
      <c r="V80" s="3" t="s">
        <v>130</v>
      </c>
      <c r="W80" s="7">
        <v>90</v>
      </c>
      <c r="X80" s="3" t="s">
        <v>45</v>
      </c>
      <c r="Y80" s="8" t="str">
        <f>HYPERLINK("http://njms.rutgers.edu/admissions/prospective/apply_requirements.cfm","Click Here For Prerequisites")</f>
        <v>Click Here For Prerequisites</v>
      </c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ht="96" customHeight="1" x14ac:dyDescent="0.25">
      <c r="A81" s="4" t="str">
        <f>HYPERLINK("http://rwjms.umdnj.edu/education/admissions/selection_process.html","Rutgers Robert Wood Johnson Medical School")</f>
        <v>Rutgers Robert Wood Johnson Medical School</v>
      </c>
      <c r="B81" s="3" t="s">
        <v>374</v>
      </c>
      <c r="C81" s="3" t="s">
        <v>21</v>
      </c>
      <c r="D81" s="3" t="s">
        <v>22</v>
      </c>
      <c r="E81" s="3" t="s">
        <v>22</v>
      </c>
      <c r="F81" s="5" t="s">
        <v>382</v>
      </c>
      <c r="G81" s="5" t="s">
        <v>383</v>
      </c>
      <c r="H81" s="5" t="s">
        <v>384</v>
      </c>
      <c r="I81" s="21" t="s">
        <v>622</v>
      </c>
      <c r="J81" s="21" t="s">
        <v>754</v>
      </c>
      <c r="K81" s="21" t="s">
        <v>622</v>
      </c>
      <c r="L81" s="19" t="s">
        <v>801</v>
      </c>
      <c r="M81" s="15" t="s">
        <v>23</v>
      </c>
      <c r="N81" s="21" t="s">
        <v>622</v>
      </c>
      <c r="O81" s="19" t="s">
        <v>670</v>
      </c>
      <c r="P81" s="15" t="s">
        <v>23</v>
      </c>
      <c r="Q81" s="19" t="s">
        <v>802</v>
      </c>
      <c r="R81" s="19" t="s">
        <v>774</v>
      </c>
      <c r="S81" s="15" t="s">
        <v>28</v>
      </c>
      <c r="T81" s="3" t="s">
        <v>50</v>
      </c>
      <c r="U81" s="3" t="s">
        <v>30</v>
      </c>
      <c r="V81" s="6">
        <v>41153</v>
      </c>
      <c r="W81" s="7">
        <v>80</v>
      </c>
      <c r="X81" s="3" t="s">
        <v>69</v>
      </c>
      <c r="Y81" s="8" t="str">
        <f>HYPERLINK("http://rwjms.rutgers.edu/education/admissions/selection_process.html","Click Here For Prerequisites")</f>
        <v>Click Here For Prerequisites</v>
      </c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ht="31.5" customHeight="1" x14ac:dyDescent="0.25">
      <c r="A82" s="23" t="str">
        <f>HYPERLINK("http://som.unm.edu/admissions/application/prerequisites.html","University of New Mexico School of Medicine")</f>
        <v>University of New Mexico School of Medicine</v>
      </c>
      <c r="B82" s="3" t="s">
        <v>385</v>
      </c>
      <c r="C82" s="3" t="s">
        <v>21</v>
      </c>
      <c r="D82" s="3" t="s">
        <v>30</v>
      </c>
      <c r="E82" s="3" t="s">
        <v>23</v>
      </c>
      <c r="F82" s="5" t="s">
        <v>386</v>
      </c>
      <c r="G82" s="5" t="s">
        <v>387</v>
      </c>
      <c r="H82" s="5" t="s">
        <v>388</v>
      </c>
      <c r="I82" s="21" t="s">
        <v>622</v>
      </c>
      <c r="J82" s="21" t="s">
        <v>622</v>
      </c>
      <c r="K82" s="21" t="s">
        <v>622</v>
      </c>
      <c r="L82" s="19" t="s">
        <v>689</v>
      </c>
      <c r="M82" s="15" t="s">
        <v>23</v>
      </c>
      <c r="N82" s="21" t="s">
        <v>622</v>
      </c>
      <c r="O82" s="15" t="s">
        <v>23</v>
      </c>
      <c r="P82" s="15" t="s">
        <v>23</v>
      </c>
      <c r="Q82" s="15" t="s">
        <v>23</v>
      </c>
      <c r="R82" s="19" t="s">
        <v>23</v>
      </c>
      <c r="S82" s="15" t="s">
        <v>28</v>
      </c>
      <c r="T82" s="3" t="s">
        <v>67</v>
      </c>
      <c r="U82" s="3" t="s">
        <v>30</v>
      </c>
      <c r="V82" s="6">
        <v>40909</v>
      </c>
      <c r="W82" s="7">
        <v>75</v>
      </c>
      <c r="X82" s="3" t="s">
        <v>31</v>
      </c>
      <c r="Y82" s="8" t="str">
        <f>HYPERLINK("http://som.unm.edu/admissions/application/prerequisites.html","Click Here For Prerequisites")</f>
        <v>Click Here For Prerequisites</v>
      </c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ht="63.75" customHeight="1" x14ac:dyDescent="0.25">
      <c r="A83" s="4" t="str">
        <f>HYPERLINK("http://medicine.nevada.edu/asa/admissions/applicants/selection-factors/course-requirements","University of Nevada School of Medicine")</f>
        <v>University of Nevada School of Medicine</v>
      </c>
      <c r="B83" s="3" t="s">
        <v>389</v>
      </c>
      <c r="C83" s="3" t="s">
        <v>21</v>
      </c>
      <c r="D83" s="3" t="s">
        <v>22</v>
      </c>
      <c r="E83" s="3" t="s">
        <v>23</v>
      </c>
      <c r="F83" s="5" t="s">
        <v>390</v>
      </c>
      <c r="G83" s="5" t="s">
        <v>391</v>
      </c>
      <c r="H83" s="5" t="s">
        <v>392</v>
      </c>
      <c r="I83" s="21" t="s">
        <v>622</v>
      </c>
      <c r="J83" s="21" t="s">
        <v>622</v>
      </c>
      <c r="K83" s="21" t="s">
        <v>622</v>
      </c>
      <c r="L83" s="19" t="s">
        <v>689</v>
      </c>
      <c r="M83" s="19" t="s">
        <v>805</v>
      </c>
      <c r="N83" s="21" t="s">
        <v>803</v>
      </c>
      <c r="O83" s="15" t="s">
        <v>23</v>
      </c>
      <c r="P83" s="19" t="s">
        <v>35</v>
      </c>
      <c r="Q83" s="19" t="s">
        <v>35</v>
      </c>
      <c r="R83" s="19" t="s">
        <v>23</v>
      </c>
      <c r="S83" s="19" t="s">
        <v>804</v>
      </c>
      <c r="T83" s="3" t="s">
        <v>50</v>
      </c>
      <c r="U83" s="3" t="s">
        <v>28</v>
      </c>
      <c r="V83" s="6">
        <v>41532</v>
      </c>
      <c r="W83" s="7">
        <v>45</v>
      </c>
      <c r="X83" s="3" t="s">
        <v>31</v>
      </c>
      <c r="Y83" s="8" t="str">
        <f>HYPERLINK("http://medicine.nevada.edu/asa/admissions/applicants/selection-factors/course-requirements","Click Here For Prerequisites")</f>
        <v>Click Here For Prerequisites</v>
      </c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ht="31.5" customHeight="1" x14ac:dyDescent="0.25">
      <c r="A84" s="4" t="str">
        <f>HYPERLINK("http://www.amc.edu/academic/Undergraduate_Admissions/","Albany Medical College")</f>
        <v>Albany Medical College</v>
      </c>
      <c r="B84" s="3" t="s">
        <v>393</v>
      </c>
      <c r="C84" s="3" t="s">
        <v>57</v>
      </c>
      <c r="D84" s="3" t="s">
        <v>22</v>
      </c>
      <c r="E84" s="3" t="s">
        <v>23</v>
      </c>
      <c r="F84" s="5" t="s">
        <v>394</v>
      </c>
      <c r="G84" s="5" t="s">
        <v>395</v>
      </c>
      <c r="H84" s="5" t="s">
        <v>396</v>
      </c>
      <c r="I84" s="21" t="s">
        <v>622</v>
      </c>
      <c r="J84" s="21" t="s">
        <v>622</v>
      </c>
      <c r="K84" s="21" t="s">
        <v>622</v>
      </c>
      <c r="L84" s="15" t="s">
        <v>23</v>
      </c>
      <c r="M84" s="19" t="s">
        <v>23</v>
      </c>
      <c r="N84" s="21" t="s">
        <v>622</v>
      </c>
      <c r="O84" s="15" t="s">
        <v>23</v>
      </c>
      <c r="P84" s="15" t="s">
        <v>23</v>
      </c>
      <c r="Q84" s="19" t="s">
        <v>23</v>
      </c>
      <c r="R84" s="19" t="s">
        <v>23</v>
      </c>
      <c r="S84" s="15" t="s">
        <v>28</v>
      </c>
      <c r="T84" s="3" t="s">
        <v>50</v>
      </c>
      <c r="U84" s="3" t="s">
        <v>130</v>
      </c>
      <c r="V84" s="6">
        <v>40909</v>
      </c>
      <c r="W84" s="7">
        <v>115</v>
      </c>
      <c r="X84" s="3" t="s">
        <v>69</v>
      </c>
      <c r="Y84" s="8" t="str">
        <f>HYPERLINK("http://www.amc.edu/academic/Undergraduate_Admissions/","Click Here For Prerequisites")</f>
        <v>Click Here For Prerequisites</v>
      </c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ht="52.5" customHeight="1" x14ac:dyDescent="0.25">
      <c r="A85" s="4" t="str">
        <f>HYPERLINK("http://www.einstein.yu.edu/education/md-program/admissions/application-procedure/course-requirements.aspx","Albert Einstein College of Medicine of Yeshiva University")</f>
        <v>Albert Einstein College of Medicine of Yeshiva University</v>
      </c>
      <c r="B85" s="3" t="s">
        <v>393</v>
      </c>
      <c r="C85" s="3" t="s">
        <v>57</v>
      </c>
      <c r="D85" s="3" t="s">
        <v>22</v>
      </c>
      <c r="E85" s="3" t="s">
        <v>22</v>
      </c>
      <c r="F85" s="5" t="s">
        <v>397</v>
      </c>
      <c r="G85" s="5" t="s">
        <v>398</v>
      </c>
      <c r="H85" s="5" t="s">
        <v>399</v>
      </c>
      <c r="I85" s="21" t="s">
        <v>617</v>
      </c>
      <c r="J85" s="21" t="s">
        <v>617</v>
      </c>
      <c r="K85" s="21" t="s">
        <v>617</v>
      </c>
      <c r="L85" s="19" t="s">
        <v>35</v>
      </c>
      <c r="M85" s="15" t="s">
        <v>23</v>
      </c>
      <c r="N85" s="19" t="s">
        <v>617</v>
      </c>
      <c r="O85" s="15" t="s">
        <v>23</v>
      </c>
      <c r="P85" s="15" t="s">
        <v>23</v>
      </c>
      <c r="Q85" s="19" t="s">
        <v>35</v>
      </c>
      <c r="R85" s="19" t="s">
        <v>617</v>
      </c>
      <c r="S85" s="19" t="s">
        <v>806</v>
      </c>
      <c r="T85" s="3" t="s">
        <v>107</v>
      </c>
      <c r="U85" s="3" t="s">
        <v>44</v>
      </c>
      <c r="V85" s="6">
        <v>40909</v>
      </c>
      <c r="W85" s="7">
        <v>120</v>
      </c>
      <c r="X85" s="3" t="s">
        <v>45</v>
      </c>
      <c r="Y85" s="8" t="str">
        <f>HYPERLINK("http://www.einstein.yu.edu/education/md-program/admissions/application-procedure/course-requirements.aspx","Click Here For Prerequisites")</f>
        <v>Click Here For Prerequisites</v>
      </c>
      <c r="Z85" s="18" t="s">
        <v>762</v>
      </c>
      <c r="AA85" s="9"/>
      <c r="AB85" s="9"/>
      <c r="AC85" s="9"/>
      <c r="AD85" s="9"/>
      <c r="AE85" s="9"/>
      <c r="AF85" s="9"/>
      <c r="AG85" s="9"/>
      <c r="AH85" s="9"/>
      <c r="AI85" s="9"/>
    </row>
    <row r="86" spans="1:35" ht="54" customHeight="1" x14ac:dyDescent="0.25">
      <c r="A86" s="4" t="str">
        <f>HYPERLINK("http://ps.columbia.edu/education/admissions/applying/application-requirements","Columbia University College of Physicians and Surgeons")</f>
        <v>Columbia University College of Physicians and Surgeons</v>
      </c>
      <c r="B86" s="3" t="s">
        <v>393</v>
      </c>
      <c r="C86" s="3" t="s">
        <v>57</v>
      </c>
      <c r="D86" s="3" t="s">
        <v>22</v>
      </c>
      <c r="E86" s="3" t="s">
        <v>22</v>
      </c>
      <c r="F86" s="5" t="s">
        <v>400</v>
      </c>
      <c r="G86" s="5" t="s">
        <v>401</v>
      </c>
      <c r="H86" s="5" t="s">
        <v>402</v>
      </c>
      <c r="I86" s="21" t="s">
        <v>729</v>
      </c>
      <c r="J86" s="21" t="s">
        <v>622</v>
      </c>
      <c r="K86" s="21" t="s">
        <v>622</v>
      </c>
      <c r="L86" s="15" t="s">
        <v>23</v>
      </c>
      <c r="M86" s="15" t="s">
        <v>23</v>
      </c>
      <c r="N86" s="21" t="s">
        <v>622</v>
      </c>
      <c r="O86" s="15" t="s">
        <v>23</v>
      </c>
      <c r="P86" s="15" t="s">
        <v>23</v>
      </c>
      <c r="Q86" s="15" t="s">
        <v>23</v>
      </c>
      <c r="R86" s="19" t="s">
        <v>692</v>
      </c>
      <c r="S86" s="15" t="s">
        <v>28</v>
      </c>
      <c r="T86" s="3" t="s">
        <v>130</v>
      </c>
      <c r="U86" s="3" t="s">
        <v>130</v>
      </c>
      <c r="V86" s="6">
        <v>41041</v>
      </c>
      <c r="W86" s="7">
        <v>100</v>
      </c>
      <c r="X86" s="3" t="s">
        <v>69</v>
      </c>
      <c r="Y86" s="8" t="str">
        <f>HYPERLINK("http://ps.columbia.edu/education/admissions/applying/application-requirements","Click Here For Prerequisites")</f>
        <v>Click Here For Prerequisites</v>
      </c>
      <c r="Z86" s="18" t="s">
        <v>807</v>
      </c>
      <c r="AA86" s="9"/>
      <c r="AB86" s="9"/>
      <c r="AC86" s="9"/>
      <c r="AD86" s="9"/>
      <c r="AE86" s="9"/>
      <c r="AF86" s="9"/>
      <c r="AG86" s="9"/>
      <c r="AH86" s="9"/>
      <c r="AI86" s="9"/>
    </row>
    <row r="87" spans="1:35" ht="60.75" customHeight="1" x14ac:dyDescent="0.25">
      <c r="A87" s="4" t="str">
        <f>HYPERLINK("http://medicine.hofstra.edu/admission/md/mdadmissions_application_req.html","Hofstra North Shore - LIJ School of Medicine at Hofstra University")</f>
        <v>Hofstra North Shore - LIJ School of Medicine at Hofstra University</v>
      </c>
      <c r="B87" s="3" t="s">
        <v>393</v>
      </c>
      <c r="C87" s="3" t="s">
        <v>57</v>
      </c>
      <c r="D87" s="3" t="s">
        <v>22</v>
      </c>
      <c r="E87" s="3" t="s">
        <v>23</v>
      </c>
      <c r="F87" s="5" t="s">
        <v>403</v>
      </c>
      <c r="G87" s="5" t="s">
        <v>404</v>
      </c>
      <c r="H87" s="5" t="s">
        <v>405</v>
      </c>
      <c r="I87" s="21" t="s">
        <v>729</v>
      </c>
      <c r="J87" s="21" t="s">
        <v>729</v>
      </c>
      <c r="K87" s="21" t="s">
        <v>622</v>
      </c>
      <c r="L87" s="15" t="s">
        <v>23</v>
      </c>
      <c r="M87" s="19" t="s">
        <v>810</v>
      </c>
      <c r="N87" s="19" t="s">
        <v>27</v>
      </c>
      <c r="O87" s="19" t="s">
        <v>670</v>
      </c>
      <c r="P87" s="15" t="s">
        <v>23</v>
      </c>
      <c r="Q87" s="19" t="s">
        <v>35</v>
      </c>
      <c r="R87" s="19" t="s">
        <v>808</v>
      </c>
      <c r="S87" s="19" t="s">
        <v>811</v>
      </c>
      <c r="T87" s="3" t="s">
        <v>67</v>
      </c>
      <c r="U87" s="3" t="s">
        <v>406</v>
      </c>
      <c r="V87" s="6">
        <v>40909</v>
      </c>
      <c r="W87" s="7">
        <v>100</v>
      </c>
      <c r="X87" s="3" t="s">
        <v>31</v>
      </c>
      <c r="Y87" s="8" t="str">
        <f>HYPERLINK("http://medicine.hofstra.edu/admission/md/mdadmissions_application_req.html","Click Here For Prerequisites")</f>
        <v>Click Here For Prerequisites</v>
      </c>
      <c r="Z87" s="18" t="s">
        <v>809</v>
      </c>
      <c r="AA87" s="9"/>
      <c r="AB87" s="9"/>
      <c r="AC87" s="9"/>
      <c r="AD87" s="9"/>
      <c r="AE87" s="9"/>
      <c r="AF87" s="9"/>
      <c r="AG87" s="9"/>
      <c r="AH87" s="9"/>
      <c r="AI87" s="9"/>
    </row>
    <row r="88" spans="1:35" ht="104.25" customHeight="1" x14ac:dyDescent="0.25">
      <c r="A88" s="4" t="str">
        <f>HYPERLINK("http://icahn.mssm.edu/education/medical-education/programs/md-program/admissions/academic-standards","Icahn School of Medicine at Mount Sinai")</f>
        <v>Icahn School of Medicine at Mount Sinai</v>
      </c>
      <c r="B88" s="3" t="s">
        <v>393</v>
      </c>
      <c r="C88" s="3" t="s">
        <v>57</v>
      </c>
      <c r="D88" s="3" t="s">
        <v>22</v>
      </c>
      <c r="E88" s="3" t="s">
        <v>22</v>
      </c>
      <c r="F88" s="5" t="s">
        <v>407</v>
      </c>
      <c r="G88" s="5" t="s">
        <v>408</v>
      </c>
      <c r="H88" s="5" t="s">
        <v>409</v>
      </c>
      <c r="I88" s="21" t="s">
        <v>622</v>
      </c>
      <c r="J88" s="21" t="s">
        <v>812</v>
      </c>
      <c r="K88" s="21" t="s">
        <v>622</v>
      </c>
      <c r="L88" s="19" t="s">
        <v>35</v>
      </c>
      <c r="M88" s="15" t="s">
        <v>23</v>
      </c>
      <c r="N88" s="21" t="s">
        <v>622</v>
      </c>
      <c r="O88" s="19" t="s">
        <v>813</v>
      </c>
      <c r="P88" s="19" t="s">
        <v>689</v>
      </c>
      <c r="Q88" s="19" t="s">
        <v>35</v>
      </c>
      <c r="R88" s="19" t="s">
        <v>814</v>
      </c>
      <c r="S88" s="19" t="s">
        <v>815</v>
      </c>
      <c r="T88" s="3" t="s">
        <v>410</v>
      </c>
      <c r="U88" s="3" t="s">
        <v>411</v>
      </c>
      <c r="V88" s="6">
        <v>41275</v>
      </c>
      <c r="W88" s="7">
        <v>110</v>
      </c>
      <c r="X88" s="3" t="s">
        <v>45</v>
      </c>
      <c r="Y88" s="8" t="str">
        <f>HYPERLINK("http://icahn.mssm.edu/education/medical-education/programs/md-program/admissions/academic-standards","Click Here For Prerequisites")</f>
        <v>Click Here For Prerequisites</v>
      </c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ht="31.5" customHeight="1" x14ac:dyDescent="0.25">
      <c r="A89" s="23" t="str">
        <f>HYPERLINK("http://www.nymc.edu/Academics/SchoolOfMedicine/Admissions/PremedicalCourseworkRequirements.html","New York Medical College")</f>
        <v>New York Medical College</v>
      </c>
      <c r="B89" s="3" t="s">
        <v>393</v>
      </c>
      <c r="C89" s="3" t="s">
        <v>57</v>
      </c>
      <c r="D89" s="3" t="s">
        <v>22</v>
      </c>
      <c r="E89" s="3" t="s">
        <v>244</v>
      </c>
      <c r="F89" s="5" t="s">
        <v>412</v>
      </c>
      <c r="G89" s="5" t="s">
        <v>413</v>
      </c>
      <c r="H89" s="5" t="s">
        <v>414</v>
      </c>
      <c r="I89" s="21" t="s">
        <v>622</v>
      </c>
      <c r="J89" s="21" t="s">
        <v>816</v>
      </c>
      <c r="K89" s="21" t="s">
        <v>622</v>
      </c>
      <c r="L89" s="19" t="s">
        <v>689</v>
      </c>
      <c r="M89" s="15" t="s">
        <v>23</v>
      </c>
      <c r="N89" s="21" t="s">
        <v>622</v>
      </c>
      <c r="O89" s="15" t="s">
        <v>23</v>
      </c>
      <c r="P89" s="15" t="s">
        <v>23</v>
      </c>
      <c r="Q89" s="15" t="s">
        <v>23</v>
      </c>
      <c r="R89" s="19" t="s">
        <v>670</v>
      </c>
      <c r="S89" s="15" t="s">
        <v>28</v>
      </c>
      <c r="T89" s="3" t="s">
        <v>50</v>
      </c>
      <c r="U89" s="3" t="s">
        <v>30</v>
      </c>
      <c r="V89" s="6">
        <v>41275</v>
      </c>
      <c r="W89" s="7">
        <v>120</v>
      </c>
      <c r="X89" s="3" t="s">
        <v>321</v>
      </c>
      <c r="Y89" s="8" t="str">
        <f>HYPERLINK("http://www.nymc.edu/Academics/SchoolOfMedicine/Admissions/PremedicalCourseworkRequirements.html","Click Here For Prerequisites")</f>
        <v>Click Here For Prerequisites</v>
      </c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ht="31.5" customHeight="1" x14ac:dyDescent="0.25">
      <c r="A90" s="4" t="str">
        <f>HYPERLINK("http://school.med.nyu.edu/md-admissions/how-apply/admissions-requirements-selection-criteria","New York University School of Medicine")</f>
        <v>New York University School of Medicine</v>
      </c>
      <c r="B90" s="3" t="s">
        <v>393</v>
      </c>
      <c r="C90" s="3" t="s">
        <v>57</v>
      </c>
      <c r="D90" s="3" t="s">
        <v>22</v>
      </c>
      <c r="E90" s="3" t="s">
        <v>23</v>
      </c>
      <c r="F90" s="5" t="s">
        <v>415</v>
      </c>
      <c r="G90" s="5" t="s">
        <v>416</v>
      </c>
      <c r="H90" s="5" t="s">
        <v>417</v>
      </c>
      <c r="I90" s="21" t="s">
        <v>617</v>
      </c>
      <c r="J90" s="21" t="s">
        <v>617</v>
      </c>
      <c r="K90" s="21" t="s">
        <v>617</v>
      </c>
      <c r="L90" s="19" t="s">
        <v>35</v>
      </c>
      <c r="M90" s="19" t="s">
        <v>722</v>
      </c>
      <c r="N90" s="21" t="s">
        <v>617</v>
      </c>
      <c r="O90" s="15" t="s">
        <v>23</v>
      </c>
      <c r="P90" s="15" t="s">
        <v>23</v>
      </c>
      <c r="Q90" s="15" t="s">
        <v>23</v>
      </c>
      <c r="R90" s="19" t="s">
        <v>617</v>
      </c>
      <c r="S90" s="15" t="s">
        <v>28</v>
      </c>
      <c r="T90" s="3" t="s">
        <v>50</v>
      </c>
      <c r="U90" s="3" t="s">
        <v>44</v>
      </c>
      <c r="V90" s="6">
        <v>41275</v>
      </c>
      <c r="W90" s="7">
        <v>110</v>
      </c>
      <c r="X90" s="3" t="s">
        <v>45</v>
      </c>
      <c r="Y90" s="8" t="str">
        <f>HYPERLINK("http://school.med.nyu.edu/md-admissions/how-apply/admissions-requirements-selection-criteria","Click Here For Prerequisites")</f>
        <v>Click Here For Prerequisites</v>
      </c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ht="76.5" customHeight="1" x14ac:dyDescent="0.25">
      <c r="A91" s="4" t="str">
        <f>HYPERLINK("http://sls.downstate.edu/admissions/com/requirements.html","State University of New York-Downstate Medical Center College of Medicine")</f>
        <v>State University of New York-Downstate Medical Center College of Medicine</v>
      </c>
      <c r="B91" s="3" t="s">
        <v>393</v>
      </c>
      <c r="C91" s="3" t="s">
        <v>21</v>
      </c>
      <c r="D91" s="3" t="s">
        <v>22</v>
      </c>
      <c r="E91" s="3" t="s">
        <v>23</v>
      </c>
      <c r="F91" s="5" t="s">
        <v>418</v>
      </c>
      <c r="G91" s="5" t="s">
        <v>419</v>
      </c>
      <c r="H91" s="5" t="s">
        <v>420</v>
      </c>
      <c r="I91" s="21" t="s">
        <v>622</v>
      </c>
      <c r="J91" s="21" t="s">
        <v>622</v>
      </c>
      <c r="K91" s="21" t="s">
        <v>622</v>
      </c>
      <c r="L91" s="19" t="s">
        <v>35</v>
      </c>
      <c r="M91" s="15" t="s">
        <v>23</v>
      </c>
      <c r="N91" s="21" t="s">
        <v>622</v>
      </c>
      <c r="O91" s="15" t="s">
        <v>23</v>
      </c>
      <c r="P91" s="15" t="s">
        <v>23</v>
      </c>
      <c r="Q91" s="15" t="s">
        <v>23</v>
      </c>
      <c r="R91" s="19" t="s">
        <v>819</v>
      </c>
      <c r="S91" s="15" t="s">
        <v>28</v>
      </c>
      <c r="T91" s="3" t="s">
        <v>107</v>
      </c>
      <c r="U91" s="3" t="s">
        <v>130</v>
      </c>
      <c r="V91" s="6">
        <v>41518</v>
      </c>
      <c r="W91" s="7">
        <v>80</v>
      </c>
      <c r="X91" s="3" t="s">
        <v>31</v>
      </c>
      <c r="Y91" s="8" t="str">
        <f>HYPERLINK("http://sls.downstate.edu/admissions/com/requirements.html","Click Here For Prerequisites")</f>
        <v>Click Here For Prerequisites</v>
      </c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ht="79.5" customHeight="1" x14ac:dyDescent="0.25">
      <c r="A92" s="4" t="str">
        <f>HYPERLINK("http://www.upstate.edu/com/admissions/faqs.php","State University of New York-Upstate Medical University")</f>
        <v>State University of New York-Upstate Medical University</v>
      </c>
      <c r="B92" s="3" t="s">
        <v>393</v>
      </c>
      <c r="C92" s="3" t="s">
        <v>21</v>
      </c>
      <c r="D92" s="3" t="s">
        <v>22</v>
      </c>
      <c r="E92" s="3" t="s">
        <v>22</v>
      </c>
      <c r="F92" s="5" t="s">
        <v>421</v>
      </c>
      <c r="G92" s="5" t="s">
        <v>422</v>
      </c>
      <c r="H92" s="5" t="s">
        <v>423</v>
      </c>
      <c r="I92" s="21" t="s">
        <v>622</v>
      </c>
      <c r="J92" s="21" t="s">
        <v>622</v>
      </c>
      <c r="K92" s="21" t="s">
        <v>622</v>
      </c>
      <c r="L92" s="15" t="s">
        <v>22</v>
      </c>
      <c r="M92" s="15" t="s">
        <v>28</v>
      </c>
      <c r="N92" s="21" t="s">
        <v>622</v>
      </c>
      <c r="O92" s="15" t="s">
        <v>23</v>
      </c>
      <c r="P92" s="15" t="s">
        <v>23</v>
      </c>
      <c r="Q92" s="15" t="s">
        <v>22</v>
      </c>
      <c r="R92" s="19" t="s">
        <v>820</v>
      </c>
      <c r="S92" s="15" t="s">
        <v>28</v>
      </c>
      <c r="T92" s="3" t="s">
        <v>50</v>
      </c>
      <c r="U92" s="3" t="s">
        <v>44</v>
      </c>
      <c r="V92" s="6">
        <v>41182</v>
      </c>
      <c r="W92" s="7">
        <v>110</v>
      </c>
      <c r="X92" s="3" t="s">
        <v>45</v>
      </c>
      <c r="Y92" s="8" t="str">
        <f>HYPERLINK("http://www.upstate.edu/com/admissions/faqs.php","Click Here For Prerequisites")</f>
        <v>Click Here For Prerequisites</v>
      </c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ht="59.25" customHeight="1" x14ac:dyDescent="0.25">
      <c r="A93" s="23" t="str">
        <f>HYPERLINK("http://medicine.stonybrookmedicine.edu/admissions#admissions","Stony Brook University School of Medicine")</f>
        <v>Stony Brook University School of Medicine</v>
      </c>
      <c r="B93" s="3" t="s">
        <v>393</v>
      </c>
      <c r="C93" s="3" t="s">
        <v>21</v>
      </c>
      <c r="D93" s="3" t="s">
        <v>22</v>
      </c>
      <c r="E93" s="3" t="s">
        <v>22</v>
      </c>
      <c r="F93" s="5" t="s">
        <v>424</v>
      </c>
      <c r="G93" s="5" t="s">
        <v>425</v>
      </c>
      <c r="H93" s="5" t="s">
        <v>426</v>
      </c>
      <c r="I93" s="21" t="s">
        <v>622</v>
      </c>
      <c r="J93" s="21" t="s">
        <v>626</v>
      </c>
      <c r="K93" s="21" t="s">
        <v>622</v>
      </c>
      <c r="L93" s="15" t="s">
        <v>22</v>
      </c>
      <c r="M93" s="15" t="s">
        <v>23</v>
      </c>
      <c r="N93" s="19" t="s">
        <v>55</v>
      </c>
      <c r="O93" s="19" t="s">
        <v>65</v>
      </c>
      <c r="P93" s="15" t="s">
        <v>23</v>
      </c>
      <c r="Q93" s="19" t="s">
        <v>22</v>
      </c>
      <c r="R93" s="19" t="s">
        <v>821</v>
      </c>
      <c r="S93" s="19" t="s">
        <v>822</v>
      </c>
      <c r="T93" s="3" t="s">
        <v>67</v>
      </c>
      <c r="U93" s="3" t="s">
        <v>44</v>
      </c>
      <c r="V93" s="6">
        <v>41298</v>
      </c>
      <c r="W93" s="7">
        <v>100</v>
      </c>
      <c r="X93" s="3" t="s">
        <v>45</v>
      </c>
      <c r="Y93" s="8" t="str">
        <f>HYPERLINK("http://medicine.stonybrookmedicine.edu/admissions/welcome","Click Here For Prerequisites")</f>
        <v>Click Here For Prerequisites</v>
      </c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ht="54.75" customHeight="1" x14ac:dyDescent="0.25">
      <c r="A94" s="23" t="str">
        <f>HYPERLINK("http://www.smbs.buffalo.edu/ome/admission/admission_preparation.htm","University at Buffalo State University of New York School of Medicine and Biomedical Sciences")</f>
        <v>University at Buffalo State University of New York School of Medicine and Biomedical Sciences</v>
      </c>
      <c r="B94" s="3" t="s">
        <v>393</v>
      </c>
      <c r="C94" s="3" t="s">
        <v>21</v>
      </c>
      <c r="D94" s="3" t="s">
        <v>22</v>
      </c>
      <c r="E94" s="3" t="s">
        <v>23</v>
      </c>
      <c r="F94" s="5" t="s">
        <v>427</v>
      </c>
      <c r="G94" s="5" t="s">
        <v>428</v>
      </c>
      <c r="H94" s="5" t="s">
        <v>429</v>
      </c>
      <c r="I94" s="21" t="s">
        <v>622</v>
      </c>
      <c r="J94" s="21" t="s">
        <v>622</v>
      </c>
      <c r="K94" s="21" t="s">
        <v>622</v>
      </c>
      <c r="L94" s="19" t="s">
        <v>35</v>
      </c>
      <c r="M94" s="19" t="s">
        <v>823</v>
      </c>
      <c r="N94" s="21" t="s">
        <v>803</v>
      </c>
      <c r="O94" s="15" t="s">
        <v>23</v>
      </c>
      <c r="P94" s="15" t="s">
        <v>23</v>
      </c>
      <c r="Q94" s="19" t="s">
        <v>35</v>
      </c>
      <c r="R94" s="19" t="s">
        <v>692</v>
      </c>
      <c r="S94" s="19" t="s">
        <v>824</v>
      </c>
      <c r="T94" s="3" t="s">
        <v>67</v>
      </c>
      <c r="U94" s="3" t="s">
        <v>44</v>
      </c>
      <c r="V94" s="6">
        <v>40909</v>
      </c>
      <c r="W94" s="7">
        <v>65</v>
      </c>
      <c r="X94" s="3" t="s">
        <v>31</v>
      </c>
      <c r="Y94" s="8" t="str">
        <f>HYPERLINK("http://medicine.buffalo.edu/education/md/admissions/admission_requirements/prerequisite.html","Click Here For Prerequisites")</f>
        <v>Click Here For Prerequisites</v>
      </c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ht="81" customHeight="1" x14ac:dyDescent="0.25">
      <c r="A95" s="4" t="str">
        <f>HYPERLINK("http://www.urmc.rochester.edu/education/md/admissions/process-overview/admissions-requirements.cfm","University of Rochester School of Medicine and Dentistry")</f>
        <v>University of Rochester School of Medicine and Dentistry</v>
      </c>
      <c r="B95" s="3" t="s">
        <v>393</v>
      </c>
      <c r="C95" s="3" t="s">
        <v>57</v>
      </c>
      <c r="D95" s="3" t="s">
        <v>22</v>
      </c>
      <c r="E95" s="3" t="s">
        <v>23</v>
      </c>
      <c r="F95" s="5" t="s">
        <v>430</v>
      </c>
      <c r="G95" s="5" t="s">
        <v>431</v>
      </c>
      <c r="H95" s="5" t="s">
        <v>432</v>
      </c>
      <c r="I95" s="21" t="s">
        <v>617</v>
      </c>
      <c r="J95" s="21" t="s">
        <v>622</v>
      </c>
      <c r="K95" s="21" t="s">
        <v>622</v>
      </c>
      <c r="L95" s="19" t="s">
        <v>854</v>
      </c>
      <c r="M95" s="19" t="s">
        <v>855</v>
      </c>
      <c r="N95" s="21" t="s">
        <v>622</v>
      </c>
      <c r="O95" s="15" t="s">
        <v>23</v>
      </c>
      <c r="P95" s="15" t="s">
        <v>23</v>
      </c>
      <c r="Q95" s="19" t="s">
        <v>35</v>
      </c>
      <c r="R95" s="19" t="s">
        <v>852</v>
      </c>
      <c r="S95" s="19" t="s">
        <v>853</v>
      </c>
      <c r="T95" s="3" t="s">
        <v>433</v>
      </c>
      <c r="U95" s="3" t="s">
        <v>30</v>
      </c>
      <c r="V95" s="6">
        <v>40969</v>
      </c>
      <c r="W95" s="7">
        <v>100</v>
      </c>
      <c r="X95" s="3" t="s">
        <v>69</v>
      </c>
      <c r="Y95" s="8" t="str">
        <f>HYPERLINK("http://www.urmc.rochester.edu/education/md/admissions/process-overview/admissions-requirements.cfm","Click Here For Prerequisites")</f>
        <v>Click Here For Prerequisites</v>
      </c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ht="117.75" customHeight="1" x14ac:dyDescent="0.25">
      <c r="A96" s="4" t="str">
        <f>HYPERLINK("http://weill.cornell.edu/education/admissions/app_req.html","Weill Cornell Medical College")</f>
        <v>Weill Cornell Medical College</v>
      </c>
      <c r="B96" s="3" t="s">
        <v>393</v>
      </c>
      <c r="C96" s="3" t="s">
        <v>57</v>
      </c>
      <c r="D96" s="3" t="s">
        <v>22</v>
      </c>
      <c r="E96" s="3" t="s">
        <v>22</v>
      </c>
      <c r="F96" s="5" t="s">
        <v>434</v>
      </c>
      <c r="G96" s="5" t="s">
        <v>435</v>
      </c>
      <c r="H96" s="5" t="s">
        <v>436</v>
      </c>
      <c r="I96" s="21" t="s">
        <v>622</v>
      </c>
      <c r="J96" s="21" t="s">
        <v>661</v>
      </c>
      <c r="K96" s="21" t="s">
        <v>622</v>
      </c>
      <c r="L96" s="15" t="s">
        <v>23</v>
      </c>
      <c r="M96" s="15" t="s">
        <v>23</v>
      </c>
      <c r="N96" s="21" t="s">
        <v>622</v>
      </c>
      <c r="O96" s="15" t="s">
        <v>23</v>
      </c>
      <c r="P96" s="19" t="s">
        <v>35</v>
      </c>
      <c r="Q96" s="19" t="s">
        <v>35</v>
      </c>
      <c r="R96" s="19" t="s">
        <v>818</v>
      </c>
      <c r="S96" s="19" t="s">
        <v>817</v>
      </c>
      <c r="T96" s="3" t="s">
        <v>410</v>
      </c>
      <c r="U96" s="3" t="s">
        <v>437</v>
      </c>
      <c r="V96" s="6">
        <v>41153</v>
      </c>
      <c r="W96" s="7">
        <v>100</v>
      </c>
      <c r="X96" s="3" t="s">
        <v>45</v>
      </c>
      <c r="Y96" s="8" t="str">
        <f>HYPERLINK("http://weill.cornell.edu/education/admissions/app_req.html","Click Here For Prerequisites")</f>
        <v>Click Here For Prerequisites</v>
      </c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ht="81" customHeight="1" x14ac:dyDescent="0.25">
      <c r="A97" s="4" t="str">
        <f>HYPERLINK("http://casemed.case.edu/admissions/process/requirements.cfm","Case Western Reserve University School of Medicine")</f>
        <v>Case Western Reserve University School of Medicine</v>
      </c>
      <c r="B97" s="3" t="s">
        <v>438</v>
      </c>
      <c r="C97" s="3" t="s">
        <v>57</v>
      </c>
      <c r="D97" s="3" t="s">
        <v>22</v>
      </c>
      <c r="E97" s="3" t="s">
        <v>22</v>
      </c>
      <c r="F97" s="5" t="s">
        <v>439</v>
      </c>
      <c r="G97" s="5" t="s">
        <v>440</v>
      </c>
      <c r="H97" s="5" t="s">
        <v>441</v>
      </c>
      <c r="I97" s="21" t="s">
        <v>622</v>
      </c>
      <c r="J97" s="21" t="s">
        <v>626</v>
      </c>
      <c r="K97" s="21" t="s">
        <v>825</v>
      </c>
      <c r="L97" s="15" t="s">
        <v>22</v>
      </c>
      <c r="M97" s="15" t="s">
        <v>23</v>
      </c>
      <c r="N97" s="19" t="s">
        <v>617</v>
      </c>
      <c r="O97" s="15" t="s">
        <v>23</v>
      </c>
      <c r="P97" s="19" t="s">
        <v>23</v>
      </c>
      <c r="Q97" s="19" t="s">
        <v>35</v>
      </c>
      <c r="R97" s="19" t="s">
        <v>821</v>
      </c>
      <c r="S97" s="19" t="s">
        <v>827</v>
      </c>
      <c r="T97" s="3" t="s">
        <v>442</v>
      </c>
      <c r="U97" s="3" t="s">
        <v>30</v>
      </c>
      <c r="V97" s="6">
        <v>40909</v>
      </c>
      <c r="W97" s="7">
        <v>90</v>
      </c>
      <c r="X97" s="3" t="s">
        <v>31</v>
      </c>
      <c r="Y97" s="8" t="str">
        <f>HYPERLINK("http://casemed.case.edu/admissions/process/requirements.cfm","Click Here For Prerequisites")</f>
        <v>Click Here For Prerequisites</v>
      </c>
      <c r="Z97" s="9" t="s">
        <v>826</v>
      </c>
      <c r="AA97" s="9"/>
      <c r="AB97" s="9"/>
      <c r="AC97" s="9"/>
      <c r="AD97" s="9"/>
      <c r="AE97" s="9"/>
      <c r="AF97" s="9"/>
      <c r="AG97" s="9"/>
      <c r="AH97" s="9"/>
      <c r="AI97" s="9"/>
    </row>
    <row r="98" spans="1:35" ht="54" customHeight="1" x14ac:dyDescent="0.25">
      <c r="A98" s="23" t="str">
        <f>HYPERLINK("http://www.neomed.edu/admissions/medicine/direct/direct-entry-m.d.-admissions#-span-mce-name--strong--mce-style--font-weight--bold---style--font-weight--bold---class--apple-style-span--prerequisite-course-work-for-m-d--applicants--span-","Northeast Ohio Medical University")</f>
        <v>Northeast Ohio Medical University</v>
      </c>
      <c r="B98" s="3" t="s">
        <v>438</v>
      </c>
      <c r="C98" s="3" t="s">
        <v>21</v>
      </c>
      <c r="D98" s="3" t="s">
        <v>22</v>
      </c>
      <c r="E98" s="3" t="s">
        <v>23</v>
      </c>
      <c r="F98" s="5" t="s">
        <v>443</v>
      </c>
      <c r="G98" s="5" t="s">
        <v>444</v>
      </c>
      <c r="H98" s="5" t="s">
        <v>445</v>
      </c>
      <c r="I98" s="21" t="s">
        <v>617</v>
      </c>
      <c r="J98" s="21" t="s">
        <v>27</v>
      </c>
      <c r="K98" s="21" t="s">
        <v>55</v>
      </c>
      <c r="L98" s="19" t="s">
        <v>35</v>
      </c>
      <c r="M98" s="19" t="s">
        <v>828</v>
      </c>
      <c r="N98" s="19" t="s">
        <v>27</v>
      </c>
      <c r="O98" s="15" t="s">
        <v>23</v>
      </c>
      <c r="P98" s="19" t="s">
        <v>35</v>
      </c>
      <c r="Q98" s="19" t="s">
        <v>35</v>
      </c>
      <c r="R98" s="19" t="s">
        <v>23</v>
      </c>
      <c r="S98" s="19" t="s">
        <v>829</v>
      </c>
      <c r="T98" s="3" t="s">
        <v>67</v>
      </c>
      <c r="U98" s="3" t="s">
        <v>130</v>
      </c>
      <c r="V98" s="6">
        <v>41426</v>
      </c>
      <c r="W98" s="7">
        <v>75</v>
      </c>
      <c r="X98" s="3" t="s">
        <v>69</v>
      </c>
      <c r="Y98" s="8" t="str">
        <f>HYPERLINK("http://www.neomed.edu/admissions/medicine/direct/direct-entry-m.d.-admissions#-span-mce-name--strong--mce-style--font-weight--bold---style--font-weight--bold---class--apple-style-span--prerequisite-course-work-for-m-d--applicants--span-","Click Here For Prerequisites")</f>
        <v>Click Here For Prerequisites</v>
      </c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ht="45.75" customHeight="1" x14ac:dyDescent="0.25">
      <c r="A99" s="4" t="str">
        <f>HYPERLINK("http://medicine.osu.edu/admissions/md/preparing/pages/index.aspx","Ohio State University College of Medicine and Public Health")</f>
        <v>Ohio State University College of Medicine and Public Health</v>
      </c>
      <c r="B99" s="3" t="s">
        <v>438</v>
      </c>
      <c r="C99" s="3" t="s">
        <v>21</v>
      </c>
      <c r="D99" s="3" t="s">
        <v>22</v>
      </c>
      <c r="E99" s="3" t="s">
        <v>23</v>
      </c>
      <c r="F99" s="5" t="s">
        <v>446</v>
      </c>
      <c r="G99" s="5" t="s">
        <v>447</v>
      </c>
      <c r="H99" s="5" t="s">
        <v>448</v>
      </c>
      <c r="I99" s="21" t="s">
        <v>622</v>
      </c>
      <c r="J99" s="21" t="s">
        <v>622</v>
      </c>
      <c r="K99" s="21" t="s">
        <v>27</v>
      </c>
      <c r="L99" s="15" t="s">
        <v>22</v>
      </c>
      <c r="M99" s="19" t="s">
        <v>830</v>
      </c>
      <c r="N99" s="21" t="s">
        <v>622</v>
      </c>
      <c r="O99" s="15" t="s">
        <v>23</v>
      </c>
      <c r="P99" s="15" t="s">
        <v>23</v>
      </c>
      <c r="Q99" s="15" t="s">
        <v>23</v>
      </c>
      <c r="R99" s="19" t="s">
        <v>617</v>
      </c>
      <c r="S99" s="19" t="s">
        <v>831</v>
      </c>
      <c r="T99" s="3" t="s">
        <v>67</v>
      </c>
      <c r="U99" s="3" t="s">
        <v>44</v>
      </c>
      <c r="V99" s="6">
        <v>40546</v>
      </c>
      <c r="W99" s="7">
        <v>80</v>
      </c>
      <c r="X99" s="3" t="s">
        <v>69</v>
      </c>
      <c r="Y99" s="8" t="str">
        <f>HYPERLINK("http://medicine.osu.edu/admissions/md/preparing/pages/index.aspx","Click Here For Prerequisites")</f>
        <v>Click Here For Prerequisites</v>
      </c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ht="62.25" customHeight="1" x14ac:dyDescent="0.25">
      <c r="A100" s="23" t="str">
        <f>HYPERLINK("http://med.uc.edu/StudentServices/MedicalStudentAdmissions/Requirements.aspx","University of Cincinnati College of Medicine")</f>
        <v>University of Cincinnati College of Medicine</v>
      </c>
      <c r="B100" s="3" t="s">
        <v>438</v>
      </c>
      <c r="C100" s="3" t="s">
        <v>21</v>
      </c>
      <c r="D100" s="3" t="s">
        <v>22</v>
      </c>
      <c r="E100" s="3" t="s">
        <v>23</v>
      </c>
      <c r="F100" s="5" t="s">
        <v>449</v>
      </c>
      <c r="G100" s="5" t="s">
        <v>450</v>
      </c>
      <c r="H100" s="5" t="s">
        <v>451</v>
      </c>
      <c r="I100" s="21" t="s">
        <v>617</v>
      </c>
      <c r="J100" s="21" t="s">
        <v>617</v>
      </c>
      <c r="K100" s="21" t="s">
        <v>617</v>
      </c>
      <c r="L100" s="15" t="s">
        <v>23</v>
      </c>
      <c r="M100" s="15" t="s">
        <v>23</v>
      </c>
      <c r="N100" s="19" t="s">
        <v>617</v>
      </c>
      <c r="O100" s="19" t="s">
        <v>832</v>
      </c>
      <c r="P100" s="15" t="s">
        <v>23</v>
      </c>
      <c r="Q100" s="19" t="s">
        <v>35</v>
      </c>
      <c r="R100" s="19" t="s">
        <v>23</v>
      </c>
      <c r="S100" s="19" t="s">
        <v>833</v>
      </c>
      <c r="T100" s="3" t="s">
        <v>50</v>
      </c>
      <c r="U100" s="3" t="s">
        <v>130</v>
      </c>
      <c r="V100" s="6">
        <v>41275</v>
      </c>
      <c r="W100" s="7">
        <v>100</v>
      </c>
      <c r="X100" s="3" t="s">
        <v>69</v>
      </c>
      <c r="Y100" s="8" t="str">
        <f>HYPERLINK("http://med.uc.edu/StudentServices/MedicalStudentAdmissions/Requirements.aspx","Click Here For Prerequisites")</f>
        <v>Click Here For Prerequisites</v>
      </c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ht="61.5" customHeight="1" x14ac:dyDescent="0.25">
      <c r="A101" s="4" t="str">
        <f>HYPERLINK("http://www.utoledo.edu/med/md/admissions/index.html","University of Toledo College of Medicine")</f>
        <v>University of Toledo College of Medicine</v>
      </c>
      <c r="B101" s="3" t="s">
        <v>438</v>
      </c>
      <c r="C101" s="3" t="s">
        <v>21</v>
      </c>
      <c r="D101" s="3" t="s">
        <v>22</v>
      </c>
      <c r="E101" s="3" t="s">
        <v>23</v>
      </c>
      <c r="F101" s="5" t="s">
        <v>452</v>
      </c>
      <c r="G101" s="5" t="s">
        <v>453</v>
      </c>
      <c r="H101" s="5" t="s">
        <v>454</v>
      </c>
      <c r="I101" s="21" t="s">
        <v>622</v>
      </c>
      <c r="J101" s="21" t="s">
        <v>622</v>
      </c>
      <c r="K101" s="21" t="s">
        <v>27</v>
      </c>
      <c r="L101" s="19" t="s">
        <v>35</v>
      </c>
      <c r="M101" s="19" t="s">
        <v>722</v>
      </c>
      <c r="N101" s="19" t="s">
        <v>27</v>
      </c>
      <c r="O101" s="19" t="s">
        <v>670</v>
      </c>
      <c r="P101" s="15" t="s">
        <v>23</v>
      </c>
      <c r="Q101" s="19" t="s">
        <v>35</v>
      </c>
      <c r="R101" s="19" t="s">
        <v>670</v>
      </c>
      <c r="S101" s="19" t="s">
        <v>834</v>
      </c>
      <c r="T101" s="3" t="s">
        <v>67</v>
      </c>
      <c r="U101" s="3" t="s">
        <v>30</v>
      </c>
      <c r="V101" s="6">
        <v>41487</v>
      </c>
      <c r="W101" s="7">
        <v>80</v>
      </c>
      <c r="X101" s="3" t="s">
        <v>31</v>
      </c>
      <c r="Y101" s="8" t="str">
        <f>HYPERLINK("http://www.utoledo.edu/med/md/admissions/index.html","Click Here For Prerequisites")</f>
        <v>Click Here For Prerequisites</v>
      </c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ht="59.25" customHeight="1" x14ac:dyDescent="0.25">
      <c r="A102" s="4" t="str">
        <f>HYPERLINK("http://www.med.wright.edu/admiss/prerequisites","Wright State University School of Medicine")</f>
        <v>Wright State University School of Medicine</v>
      </c>
      <c r="B102" s="3" t="s">
        <v>438</v>
      </c>
      <c r="C102" s="3" t="s">
        <v>21</v>
      </c>
      <c r="D102" s="3" t="s">
        <v>22</v>
      </c>
      <c r="E102" s="3" t="s">
        <v>23</v>
      </c>
      <c r="F102" s="5" t="s">
        <v>455</v>
      </c>
      <c r="G102" s="5" t="s">
        <v>456</v>
      </c>
      <c r="H102" s="5" t="s">
        <v>457</v>
      </c>
      <c r="I102" s="21" t="s">
        <v>622</v>
      </c>
      <c r="J102" s="21" t="s">
        <v>622</v>
      </c>
      <c r="K102" s="21" t="s">
        <v>622</v>
      </c>
      <c r="L102" s="15" t="s">
        <v>23</v>
      </c>
      <c r="M102" s="15" t="s">
        <v>23</v>
      </c>
      <c r="N102" s="21" t="s">
        <v>622</v>
      </c>
      <c r="O102" s="19" t="s">
        <v>670</v>
      </c>
      <c r="P102" s="19" t="s">
        <v>35</v>
      </c>
      <c r="Q102" s="15" t="s">
        <v>23</v>
      </c>
      <c r="R102" s="19" t="s">
        <v>835</v>
      </c>
      <c r="S102" s="15" t="s">
        <v>28</v>
      </c>
      <c r="T102" s="3" t="s">
        <v>67</v>
      </c>
      <c r="U102" s="3" t="s">
        <v>30</v>
      </c>
      <c r="V102" s="6">
        <v>41167</v>
      </c>
      <c r="W102" s="7">
        <v>65</v>
      </c>
      <c r="X102" s="3" t="s">
        <v>45</v>
      </c>
      <c r="Y102" s="8" t="str">
        <f>HYPERLINK("http://www.med.wright.edu/admiss/prerequisites","Click Here For Prerequisites")</f>
        <v>Click Here For Prerequisites</v>
      </c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ht="66" customHeight="1" x14ac:dyDescent="0.25">
      <c r="A103" s="23" t="str">
        <f>HYPERLINK("http://www.oumedicine.com/collegeofmedicine/information-about-/admissions","University of Oklahoma College of Medicine")</f>
        <v>University of Oklahoma College of Medicine</v>
      </c>
      <c r="B103" s="3" t="s">
        <v>458</v>
      </c>
      <c r="C103" s="3" t="s">
        <v>21</v>
      </c>
      <c r="D103" s="3" t="s">
        <v>22</v>
      </c>
      <c r="E103" s="3" t="s">
        <v>23</v>
      </c>
      <c r="F103" s="5" t="s">
        <v>459</v>
      </c>
      <c r="G103" s="5" t="s">
        <v>460</v>
      </c>
      <c r="H103" s="5" t="s">
        <v>461</v>
      </c>
      <c r="I103" s="21" t="s">
        <v>27</v>
      </c>
      <c r="J103" s="21" t="s">
        <v>27</v>
      </c>
      <c r="K103" s="21" t="s">
        <v>626</v>
      </c>
      <c r="L103" s="15" t="s">
        <v>23</v>
      </c>
      <c r="M103" s="19" t="s">
        <v>836</v>
      </c>
      <c r="N103" s="19" t="s">
        <v>27</v>
      </c>
      <c r="O103" s="15" t="s">
        <v>23</v>
      </c>
      <c r="P103" s="15" t="s">
        <v>23</v>
      </c>
      <c r="Q103" s="15" t="s">
        <v>23</v>
      </c>
      <c r="R103" s="19" t="s">
        <v>837</v>
      </c>
      <c r="S103" s="19" t="s">
        <v>838</v>
      </c>
      <c r="T103" s="3" t="s">
        <v>29</v>
      </c>
      <c r="U103" s="3" t="s">
        <v>30</v>
      </c>
      <c r="V103" s="6">
        <v>41547</v>
      </c>
      <c r="W103" s="7">
        <v>75</v>
      </c>
      <c r="X103" s="3" t="s">
        <v>31</v>
      </c>
      <c r="Y103" s="8" t="str">
        <f>HYPERLINK("http://www.oumedicine.com/collegeofmedicine/information-about-/admissions","Click Here For Prerequisites")</f>
        <v>Click Here For Prerequisites</v>
      </c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ht="100.5" customHeight="1" x14ac:dyDescent="0.25">
      <c r="A104" s="4" t="str">
        <f>HYPERLINK("http://www.ohsu.edu/xd/education/schools/school-of-medicine/academic-programs/md-program/admissions/requirements.cfm","Oregon Health and Science University")</f>
        <v>Oregon Health and Science University</v>
      </c>
      <c r="B104" s="3" t="s">
        <v>462</v>
      </c>
      <c r="C104" s="3" t="s">
        <v>21</v>
      </c>
      <c r="D104" s="3" t="s">
        <v>22</v>
      </c>
      <c r="E104" s="3" t="s">
        <v>23</v>
      </c>
      <c r="F104" s="5" t="s">
        <v>463</v>
      </c>
      <c r="G104" s="5" t="s">
        <v>464</v>
      </c>
      <c r="H104" s="5" t="s">
        <v>465</v>
      </c>
      <c r="I104" s="21" t="s">
        <v>622</v>
      </c>
      <c r="J104" s="21" t="s">
        <v>622</v>
      </c>
      <c r="K104" s="21" t="s">
        <v>839</v>
      </c>
      <c r="L104" s="15" t="s">
        <v>22</v>
      </c>
      <c r="M104" s="19" t="s">
        <v>830</v>
      </c>
      <c r="N104" s="19" t="s">
        <v>840</v>
      </c>
      <c r="O104" s="19" t="s">
        <v>841</v>
      </c>
      <c r="P104" s="15" t="s">
        <v>23</v>
      </c>
      <c r="Q104" s="19" t="s">
        <v>35</v>
      </c>
      <c r="R104" s="19" t="s">
        <v>794</v>
      </c>
      <c r="S104" s="19" t="s">
        <v>842</v>
      </c>
      <c r="T104" s="3" t="s">
        <v>466</v>
      </c>
      <c r="U104" s="3" t="s">
        <v>44</v>
      </c>
      <c r="V104" s="6">
        <v>41275</v>
      </c>
      <c r="W104" s="7">
        <v>100</v>
      </c>
      <c r="X104" s="3" t="s">
        <v>31</v>
      </c>
      <c r="Y104" s="8" t="str">
        <f>HYPERLINK("http://www.ohsu.edu/xd/education/schools/school-of-medicine/academic-programs/md-program/admissions/requirements.cfm","Click Here For Prerequisites")</f>
        <v>Click Here For Prerequisites</v>
      </c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ht="84.75" customHeight="1" x14ac:dyDescent="0.25">
      <c r="A105" s="4" t="str">
        <f>HYPERLINK("https://www.drexelmed.edu/Home/Admissions/MDProgram/AdmissionsRequirements.aspx","Drexel University College of Medicine")</f>
        <v>Drexel University College of Medicine</v>
      </c>
      <c r="B105" s="3" t="s">
        <v>467</v>
      </c>
      <c r="C105" s="3" t="s">
        <v>57</v>
      </c>
      <c r="D105" s="3" t="s">
        <v>22</v>
      </c>
      <c r="E105" s="3" t="s">
        <v>23</v>
      </c>
      <c r="F105" s="5" t="s">
        <v>468</v>
      </c>
      <c r="G105" s="5" t="s">
        <v>469</v>
      </c>
      <c r="H105" s="5" t="s">
        <v>470</v>
      </c>
      <c r="I105" s="21" t="s">
        <v>617</v>
      </c>
      <c r="J105" s="21" t="s">
        <v>617</v>
      </c>
      <c r="K105" s="21" t="s">
        <v>843</v>
      </c>
      <c r="L105" s="19" t="s">
        <v>35</v>
      </c>
      <c r="M105" s="15" t="s">
        <v>23</v>
      </c>
      <c r="N105" s="19" t="s">
        <v>617</v>
      </c>
      <c r="O105" s="15" t="s">
        <v>23</v>
      </c>
      <c r="P105" s="15" t="s">
        <v>23</v>
      </c>
      <c r="Q105" s="19" t="s">
        <v>35</v>
      </c>
      <c r="R105" s="19" t="s">
        <v>617</v>
      </c>
      <c r="S105" s="19" t="s">
        <v>844</v>
      </c>
      <c r="T105" s="3" t="s">
        <v>67</v>
      </c>
      <c r="U105" s="3" t="s">
        <v>30</v>
      </c>
      <c r="V105" s="6">
        <v>41275</v>
      </c>
      <c r="W105" s="7">
        <v>100</v>
      </c>
      <c r="X105" s="3" t="s">
        <v>69</v>
      </c>
      <c r="Y105" s="8" t="str">
        <f>HYPERLINK("https://www.drexelmed.edu/Home/Admissions/MDProgram/AdmissionsRequirements.aspx","Click Here For Prerequisites")</f>
        <v>Click Here For Prerequisites</v>
      </c>
      <c r="Z105" s="18" t="s">
        <v>762</v>
      </c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ht="68.25" customHeight="1" x14ac:dyDescent="0.25">
      <c r="A106" s="23" t="str">
        <f>HYPERLINK("http://www.jefferson.edu/jmc/admissions/apply/procedure.html","Sidney Kimmel Medical College of Thomas Jefferson University")</f>
        <v>Sidney Kimmel Medical College of Thomas Jefferson University</v>
      </c>
      <c r="B106" s="3" t="s">
        <v>467</v>
      </c>
      <c r="C106" s="3" t="s">
        <v>57</v>
      </c>
      <c r="D106" s="3" t="s">
        <v>22</v>
      </c>
      <c r="E106" s="3" t="s">
        <v>22</v>
      </c>
      <c r="F106" s="5" t="s">
        <v>471</v>
      </c>
      <c r="G106" s="5" t="s">
        <v>472</v>
      </c>
      <c r="H106" s="5" t="s">
        <v>473</v>
      </c>
      <c r="I106" s="21" t="s">
        <v>622</v>
      </c>
      <c r="J106" s="21" t="s">
        <v>622</v>
      </c>
      <c r="K106" s="21" t="s">
        <v>622</v>
      </c>
      <c r="L106" s="15" t="s">
        <v>23</v>
      </c>
      <c r="M106" s="15" t="s">
        <v>23</v>
      </c>
      <c r="N106" s="21" t="s">
        <v>622</v>
      </c>
      <c r="O106" s="15" t="s">
        <v>23</v>
      </c>
      <c r="P106" s="15" t="s">
        <v>23</v>
      </c>
      <c r="Q106" s="15" t="s">
        <v>23</v>
      </c>
      <c r="R106" s="19" t="s">
        <v>617</v>
      </c>
      <c r="S106" s="19" t="s">
        <v>847</v>
      </c>
      <c r="T106" s="3" t="s">
        <v>67</v>
      </c>
      <c r="U106" s="3" t="s">
        <v>30</v>
      </c>
      <c r="V106" s="6">
        <v>41167</v>
      </c>
      <c r="W106" s="7">
        <v>80</v>
      </c>
      <c r="X106" s="3" t="s">
        <v>69</v>
      </c>
      <c r="Y106" s="8" t="str">
        <f>HYPERLINK("http://www.jefferson.edu/jmc/admissions/apply/procedure.html","Click Here For Prerequisites")</f>
        <v>Click Here For Prerequisites</v>
      </c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ht="48" customHeight="1" x14ac:dyDescent="0.25">
      <c r="A107" s="4" t="str">
        <f>HYPERLINK("https://www2.med.psu.edu/mdadmissions/admissions/application-process/admissions-requirements/","Pennsylvania State University College of Medicine")</f>
        <v>Pennsylvania State University College of Medicine</v>
      </c>
      <c r="B107" s="3" t="s">
        <v>467</v>
      </c>
      <c r="C107" s="3" t="s">
        <v>57</v>
      </c>
      <c r="D107" s="3" t="s">
        <v>22</v>
      </c>
      <c r="E107" s="3" t="s">
        <v>22</v>
      </c>
      <c r="F107" s="5" t="s">
        <v>474</v>
      </c>
      <c r="G107" s="5" t="s">
        <v>475</v>
      </c>
      <c r="H107" s="5" t="s">
        <v>476</v>
      </c>
      <c r="I107" s="21" t="s">
        <v>622</v>
      </c>
      <c r="J107" s="21" t="s">
        <v>622</v>
      </c>
      <c r="K107" s="21" t="s">
        <v>622</v>
      </c>
      <c r="L107" s="15" t="s">
        <v>23</v>
      </c>
      <c r="M107" s="15" t="s">
        <v>23</v>
      </c>
      <c r="N107" s="21" t="s">
        <v>622</v>
      </c>
      <c r="O107" s="19" t="s">
        <v>670</v>
      </c>
      <c r="P107" s="19" t="s">
        <v>35</v>
      </c>
      <c r="Q107" s="19" t="s">
        <v>35</v>
      </c>
      <c r="R107" s="19" t="s">
        <v>23</v>
      </c>
      <c r="S107" s="19" t="s">
        <v>845</v>
      </c>
      <c r="T107" s="3" t="s">
        <v>130</v>
      </c>
      <c r="U107" s="3" t="s">
        <v>44</v>
      </c>
      <c r="V107" s="6">
        <v>41275</v>
      </c>
      <c r="W107" s="7">
        <v>80</v>
      </c>
      <c r="X107" s="3" t="s">
        <v>69</v>
      </c>
      <c r="Y107" s="8" t="str">
        <f>HYPERLINK("https://www2.med.psu.edu/mdadmissions/admissions/application-process/admissions-requirements/","Click Here For Prerequisites")</f>
        <v>Click Here For Prerequisites</v>
      </c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ht="31.5" customHeight="1" x14ac:dyDescent="0.25">
      <c r="A108" s="4" t="str">
        <f>HYPERLINK("http://www.med.upenn.edu/admiss/admissions1.html","Raymond and Ruth Perelman School of Medicine at the University of Pennsylvania")</f>
        <v>Raymond and Ruth Perelman School of Medicine at the University of Pennsylvania</v>
      </c>
      <c r="B108" s="3" t="s">
        <v>467</v>
      </c>
      <c r="C108" s="3" t="s">
        <v>57</v>
      </c>
      <c r="D108" s="3" t="s">
        <v>22</v>
      </c>
      <c r="E108" s="3" t="s">
        <v>22</v>
      </c>
      <c r="F108" s="5" t="s">
        <v>477</v>
      </c>
      <c r="G108" s="5" t="s">
        <v>478</v>
      </c>
      <c r="H108" s="5" t="s">
        <v>479</v>
      </c>
      <c r="I108" s="21" t="s">
        <v>617</v>
      </c>
      <c r="J108" s="21" t="s">
        <v>617</v>
      </c>
      <c r="K108" s="21" t="s">
        <v>617</v>
      </c>
      <c r="L108" s="15" t="s">
        <v>23</v>
      </c>
      <c r="M108" s="15" t="s">
        <v>23</v>
      </c>
      <c r="N108" s="19" t="s">
        <v>617</v>
      </c>
      <c r="O108" s="15" t="s">
        <v>23</v>
      </c>
      <c r="P108" s="15" t="s">
        <v>23</v>
      </c>
      <c r="Q108" s="19" t="s">
        <v>35</v>
      </c>
      <c r="R108" s="19" t="s">
        <v>617</v>
      </c>
      <c r="S108" s="19" t="s">
        <v>846</v>
      </c>
      <c r="T108" s="3" t="s">
        <v>67</v>
      </c>
      <c r="U108" s="3" t="s">
        <v>44</v>
      </c>
      <c r="V108" s="6">
        <v>40909</v>
      </c>
      <c r="W108" s="7">
        <v>80</v>
      </c>
      <c r="X108" s="3" t="s">
        <v>31</v>
      </c>
      <c r="Y108" s="8" t="str">
        <f>HYPERLINK("http://www.med.upenn.edu/admiss/admissions1.html","Click Here For Prerequisites")</f>
        <v>Click Here For Prerequisites</v>
      </c>
      <c r="Z108" s="18" t="s">
        <v>762</v>
      </c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ht="82.5" customHeight="1" x14ac:dyDescent="0.25">
      <c r="A109" s="23" t="str">
        <f>HYPERLINK("http://www.temple.edu/medicine/admissions/prospective_students/md_applicants.htm#requirements","Temple University School of Medicine")</f>
        <v>Temple University School of Medicine</v>
      </c>
      <c r="B109" s="3" t="s">
        <v>467</v>
      </c>
      <c r="C109" s="3" t="s">
        <v>57</v>
      </c>
      <c r="D109" s="3" t="s">
        <v>22</v>
      </c>
      <c r="E109" s="3" t="s">
        <v>23</v>
      </c>
      <c r="F109" s="5" t="s">
        <v>480</v>
      </c>
      <c r="G109" s="5" t="s">
        <v>481</v>
      </c>
      <c r="H109" s="5" t="s">
        <v>482</v>
      </c>
      <c r="I109" s="21" t="s">
        <v>848</v>
      </c>
      <c r="J109" s="21" t="s">
        <v>848</v>
      </c>
      <c r="K109" s="21" t="s">
        <v>622</v>
      </c>
      <c r="L109" s="15" t="s">
        <v>23</v>
      </c>
      <c r="M109" s="15" t="s">
        <v>23</v>
      </c>
      <c r="N109" s="21" t="s">
        <v>622</v>
      </c>
      <c r="O109" s="15" t="s">
        <v>23</v>
      </c>
      <c r="P109" s="15" t="s">
        <v>23</v>
      </c>
      <c r="Q109" s="15" t="s">
        <v>23</v>
      </c>
      <c r="R109" s="19" t="s">
        <v>23</v>
      </c>
      <c r="S109" s="19" t="s">
        <v>849</v>
      </c>
      <c r="T109" s="3" t="s">
        <v>483</v>
      </c>
      <c r="U109" s="3" t="s">
        <v>30</v>
      </c>
      <c r="V109" s="6">
        <v>41275</v>
      </c>
      <c r="W109" s="7">
        <v>85</v>
      </c>
      <c r="X109" s="3" t="s">
        <v>31</v>
      </c>
      <c r="Y109" s="8" t="str">
        <f>HYPERLINK("http://www.temple.edu/medicine/admissions/prospective_students/md_applicants.htm#requirements","Click Here For Prerequisites")</f>
        <v>Click Here For Prerequisites</v>
      </c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ht="60.75" customHeight="1" x14ac:dyDescent="0.25">
      <c r="A110" s="23" t="str">
        <f>HYPERLINK("http://www.thecommonwealthmedical.com/oth/Page.asp?PageID=OTH000156","The Commonwealth Medical College")</f>
        <v>The Commonwealth Medical College</v>
      </c>
      <c r="B110" s="3" t="s">
        <v>467</v>
      </c>
      <c r="C110" s="3" t="s">
        <v>57</v>
      </c>
      <c r="D110" s="3" t="s">
        <v>22</v>
      </c>
      <c r="E110" s="3" t="s">
        <v>23</v>
      </c>
      <c r="F110" s="5" t="s">
        <v>484</v>
      </c>
      <c r="G110" s="5" t="s">
        <v>485</v>
      </c>
      <c r="H110" s="5" t="s">
        <v>486</v>
      </c>
      <c r="I110" s="21" t="s">
        <v>622</v>
      </c>
      <c r="J110" s="21" t="s">
        <v>622</v>
      </c>
      <c r="K110" s="21" t="s">
        <v>622</v>
      </c>
      <c r="L110" s="15" t="s">
        <v>23</v>
      </c>
      <c r="M110" s="15" t="s">
        <v>23</v>
      </c>
      <c r="N110" s="21" t="s">
        <v>622</v>
      </c>
      <c r="O110" s="15" t="s">
        <v>23</v>
      </c>
      <c r="P110" s="15" t="s">
        <v>23</v>
      </c>
      <c r="Q110" s="15" t="s">
        <v>23</v>
      </c>
      <c r="R110" s="19" t="s">
        <v>850</v>
      </c>
      <c r="S110" s="15" t="s">
        <v>28</v>
      </c>
      <c r="T110" s="3" t="s">
        <v>67</v>
      </c>
      <c r="U110" s="3" t="s">
        <v>30</v>
      </c>
      <c r="V110" s="6">
        <v>41061</v>
      </c>
      <c r="W110" s="7">
        <v>100</v>
      </c>
      <c r="X110" s="3" t="s">
        <v>69</v>
      </c>
      <c r="Y110" s="8" t="str">
        <f>HYPERLINK("http://www.thecommonwealthmedical.com/oth/Page.asp?PageID=OTH000156","Click Here For Prerequisites")</f>
        <v>Click Here For Prerequisites</v>
      </c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ht="74.25" customHeight="1" x14ac:dyDescent="0.25">
      <c r="A111" s="4" t="str">
        <f>HYPERLINK("http://www.medadmissions.pitt.edu/admissions-requirements/requirements.php","University of Pittsburgh School of Medicine")</f>
        <v>University of Pittsburgh School of Medicine</v>
      </c>
      <c r="B111" s="3" t="s">
        <v>467</v>
      </c>
      <c r="C111" s="3" t="s">
        <v>57</v>
      </c>
      <c r="D111" s="3" t="s">
        <v>22</v>
      </c>
      <c r="E111" s="3" t="s">
        <v>22</v>
      </c>
      <c r="F111" s="5" t="s">
        <v>487</v>
      </c>
      <c r="G111" s="5" t="s">
        <v>488</v>
      </c>
      <c r="H111" s="5" t="s">
        <v>489</v>
      </c>
      <c r="I111" s="21" t="s">
        <v>622</v>
      </c>
      <c r="J111" s="21" t="s">
        <v>622</v>
      </c>
      <c r="K111" s="21" t="s">
        <v>622</v>
      </c>
      <c r="L111" s="15" t="s">
        <v>23</v>
      </c>
      <c r="M111" s="15" t="s">
        <v>23</v>
      </c>
      <c r="N111" s="21" t="s">
        <v>622</v>
      </c>
      <c r="O111" s="15" t="s">
        <v>23</v>
      </c>
      <c r="P111" s="15" t="s">
        <v>23</v>
      </c>
      <c r="Q111" s="15" t="s">
        <v>23</v>
      </c>
      <c r="R111" s="19" t="s">
        <v>774</v>
      </c>
      <c r="S111" s="15" t="s">
        <v>28</v>
      </c>
      <c r="T111" s="3" t="s">
        <v>67</v>
      </c>
      <c r="U111" s="3" t="s">
        <v>44</v>
      </c>
      <c r="V111" s="6">
        <v>40909</v>
      </c>
      <c r="W111" s="7">
        <v>85</v>
      </c>
      <c r="X111" s="3" t="s">
        <v>31</v>
      </c>
      <c r="Y111" s="8" t="str">
        <f>HYPERLINK("http://www.medadmissions.pitt.edu/admissions-requirements/requirements.php","Click Here For Prerequisites")</f>
        <v>Click Here For Prerequisites</v>
      </c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ht="48" customHeight="1" x14ac:dyDescent="0.25">
      <c r="A112" s="23" t="str">
        <f>HYPERLINK("http://www.psm.edu/Student_Affairs/Admissions/programs.htm","Ponce School of Medicine")</f>
        <v>Ponce School of Medicine</v>
      </c>
      <c r="B112" s="3" t="s">
        <v>490</v>
      </c>
      <c r="C112" s="3" t="s">
        <v>57</v>
      </c>
      <c r="D112" s="3" t="s">
        <v>22</v>
      </c>
      <c r="E112" s="3" t="s">
        <v>23</v>
      </c>
      <c r="F112" s="5" t="s">
        <v>491</v>
      </c>
      <c r="G112" s="5" t="s">
        <v>492</v>
      </c>
      <c r="H112" s="5" t="s">
        <v>392</v>
      </c>
      <c r="I112" s="21" t="s">
        <v>622</v>
      </c>
      <c r="J112" s="21" t="s">
        <v>622</v>
      </c>
      <c r="K112" s="21" t="s">
        <v>622</v>
      </c>
      <c r="L112" s="15" t="s">
        <v>23</v>
      </c>
      <c r="M112" s="15" t="s">
        <v>23</v>
      </c>
      <c r="N112" s="21" t="s">
        <v>622</v>
      </c>
      <c r="O112" s="19" t="s">
        <v>670</v>
      </c>
      <c r="P112" s="15" t="s">
        <v>23</v>
      </c>
      <c r="Q112" s="15" t="s">
        <v>23</v>
      </c>
      <c r="R112" s="19" t="s">
        <v>65</v>
      </c>
      <c r="S112" s="19" t="s">
        <v>851</v>
      </c>
      <c r="T112" s="3" t="s">
        <v>493</v>
      </c>
      <c r="U112" s="3" t="s">
        <v>130</v>
      </c>
      <c r="V112" s="6">
        <v>40939</v>
      </c>
      <c r="W112" s="3" t="s">
        <v>102</v>
      </c>
      <c r="X112" s="3" t="s">
        <v>45</v>
      </c>
      <c r="Y112" s="8" t="str">
        <f>HYPERLINK("http://www.psm.edu/Student_Affairs/Admissions/programs.htm","Click Here For Prerequisites")</f>
        <v>Click Here For Prerequisites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ht="48" customHeight="1" x14ac:dyDescent="0.25">
      <c r="A113" s="4" t="str">
        <f>HYPERLINK("http://www.sanjuanbautista.edu/Admissions.aspx","San Juan Bautista School of Medicine")</f>
        <v>San Juan Bautista School of Medicine</v>
      </c>
      <c r="B113" s="3" t="s">
        <v>490</v>
      </c>
      <c r="C113" s="3" t="s">
        <v>57</v>
      </c>
      <c r="D113" s="3" t="s">
        <v>22</v>
      </c>
      <c r="E113" s="3" t="s">
        <v>22</v>
      </c>
      <c r="F113" s="5" t="s">
        <v>494</v>
      </c>
      <c r="G113" s="5" t="s">
        <v>495</v>
      </c>
      <c r="H113" s="5" t="s">
        <v>496</v>
      </c>
      <c r="I113" s="22"/>
      <c r="J113" s="22"/>
      <c r="K113" s="22"/>
      <c r="L113" s="15" t="s">
        <v>23</v>
      </c>
      <c r="M113" s="15" t="s">
        <v>23</v>
      </c>
      <c r="O113" s="15" t="s">
        <v>23</v>
      </c>
      <c r="P113" s="15" t="s">
        <v>23</v>
      </c>
      <c r="Q113" s="15" t="s">
        <v>23</v>
      </c>
      <c r="S113" s="15" t="s">
        <v>497</v>
      </c>
      <c r="T113" s="3" t="s">
        <v>493</v>
      </c>
      <c r="U113" s="3" t="s">
        <v>30</v>
      </c>
      <c r="V113" s="6">
        <v>41244</v>
      </c>
      <c r="W113" s="3" t="s">
        <v>498</v>
      </c>
      <c r="X113" s="3" t="s">
        <v>45</v>
      </c>
      <c r="Y113" s="8" t="str">
        <f>HYPERLINK("http://www.sanjuanbautista.edu/Admissions.aspx","Click Here For Prerequisites")</f>
        <v>Click Here For Prerequisites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ht="67.5" customHeight="1" x14ac:dyDescent="0.25">
      <c r="A114" s="4" t="str">
        <f>HYPERLINK("http://www.uccaribe.edu/admission/?page_id=1238","Universidad Central Del Caribe School of Medicine")</f>
        <v>Universidad Central Del Caribe School of Medicine</v>
      </c>
      <c r="B114" s="3" t="s">
        <v>490</v>
      </c>
      <c r="C114" s="3" t="s">
        <v>57</v>
      </c>
      <c r="D114" s="3" t="s">
        <v>22</v>
      </c>
      <c r="E114" s="3" t="s">
        <v>22</v>
      </c>
      <c r="F114" s="5" t="s">
        <v>499</v>
      </c>
      <c r="G114" s="5" t="s">
        <v>500</v>
      </c>
      <c r="H114" s="5" t="s">
        <v>181</v>
      </c>
      <c r="I114" s="21" t="s">
        <v>622</v>
      </c>
      <c r="J114" s="21" t="s">
        <v>622</v>
      </c>
      <c r="K114" s="21" t="s">
        <v>622</v>
      </c>
      <c r="L114" s="19" t="s">
        <v>23</v>
      </c>
      <c r="M114" s="19" t="s">
        <v>23</v>
      </c>
      <c r="N114" s="21" t="s">
        <v>622</v>
      </c>
      <c r="O114" s="19" t="s">
        <v>670</v>
      </c>
      <c r="P114" s="15" t="s">
        <v>23</v>
      </c>
      <c r="Q114" s="19" t="s">
        <v>23</v>
      </c>
      <c r="R114" s="19" t="s">
        <v>857</v>
      </c>
      <c r="S114" s="19" t="s">
        <v>856</v>
      </c>
      <c r="T114" s="3" t="s">
        <v>50</v>
      </c>
      <c r="U114" s="3" t="s">
        <v>30</v>
      </c>
      <c r="V114" s="6">
        <v>41304</v>
      </c>
      <c r="W114" s="3" t="s">
        <v>498</v>
      </c>
      <c r="X114" s="3" t="s">
        <v>45</v>
      </c>
      <c r="Y114" s="8" t="str">
        <f>HYPERLINK("http://www.uccaribe.edu/admission/?page_id=1238","Click Here For Prerequisites")</f>
        <v>Click Here For Prerequisites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ht="62.25" customHeight="1" x14ac:dyDescent="0.25">
      <c r="A115" s="4" t="str">
        <f>HYPERLINK("http://md.rcm.upr.edu/md-program/","University of Puerto Rico School of Medicine")</f>
        <v>University of Puerto Rico School of Medicine</v>
      </c>
      <c r="B115" s="3" t="s">
        <v>490</v>
      </c>
      <c r="C115" s="3" t="s">
        <v>21</v>
      </c>
      <c r="D115" s="3" t="s">
        <v>23</v>
      </c>
      <c r="E115" s="3" t="s">
        <v>23</v>
      </c>
      <c r="F115" s="5" t="s">
        <v>501</v>
      </c>
      <c r="G115" s="5" t="s">
        <v>338</v>
      </c>
      <c r="H115" s="5" t="s">
        <v>502</v>
      </c>
      <c r="I115" s="21" t="s">
        <v>622</v>
      </c>
      <c r="J115" s="21" t="s">
        <v>622</v>
      </c>
      <c r="K115" s="21" t="s">
        <v>622</v>
      </c>
      <c r="L115" s="19" t="s">
        <v>35</v>
      </c>
      <c r="M115" s="15" t="s">
        <v>23</v>
      </c>
      <c r="N115" s="21" t="s">
        <v>622</v>
      </c>
      <c r="O115" s="15" t="s">
        <v>23</v>
      </c>
      <c r="P115" s="15" t="s">
        <v>23</v>
      </c>
      <c r="Q115" s="19" t="s">
        <v>35</v>
      </c>
      <c r="R115" s="19" t="s">
        <v>857</v>
      </c>
      <c r="S115" s="19" t="s">
        <v>858</v>
      </c>
      <c r="T115" s="3" t="s">
        <v>130</v>
      </c>
      <c r="U115" s="3" t="s">
        <v>130</v>
      </c>
      <c r="V115" s="6">
        <v>41153</v>
      </c>
      <c r="W115" s="3" t="s">
        <v>503</v>
      </c>
      <c r="X115" s="3" t="s">
        <v>31</v>
      </c>
      <c r="Y115" s="8" t="str">
        <f>HYPERLINK("http://md.rcm.upr.edu/md-program/","Click Here For Prerequisites")</f>
        <v>Click Here For Prerequisites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ht="51" customHeight="1" x14ac:dyDescent="0.25">
      <c r="A116" s="23" t="str">
        <f>HYPERLINK("http://brown.edu/academics/medical/admission/coursework","The Warren Alpert Medical School of Brown University")</f>
        <v>The Warren Alpert Medical School of Brown University</v>
      </c>
      <c r="B116" s="3" t="s">
        <v>504</v>
      </c>
      <c r="C116" s="3" t="s">
        <v>57</v>
      </c>
      <c r="D116" s="3" t="s">
        <v>22</v>
      </c>
      <c r="E116" s="3" t="s">
        <v>22</v>
      </c>
      <c r="F116" s="5" t="s">
        <v>505</v>
      </c>
      <c r="G116" s="5" t="s">
        <v>506</v>
      </c>
      <c r="H116" s="5" t="s">
        <v>507</v>
      </c>
      <c r="I116" s="21" t="s">
        <v>803</v>
      </c>
      <c r="J116" s="21" t="s">
        <v>55</v>
      </c>
      <c r="K116" s="21" t="s">
        <v>859</v>
      </c>
      <c r="L116" s="15" t="s">
        <v>23</v>
      </c>
      <c r="M116" s="15" t="s">
        <v>23</v>
      </c>
      <c r="N116" s="19" t="s">
        <v>27</v>
      </c>
      <c r="O116" s="19" t="s">
        <v>65</v>
      </c>
      <c r="P116" s="19" t="s">
        <v>689</v>
      </c>
      <c r="Q116" s="15" t="s">
        <v>23</v>
      </c>
      <c r="R116" s="19" t="s">
        <v>23</v>
      </c>
      <c r="S116" s="19" t="s">
        <v>860</v>
      </c>
      <c r="T116" s="3" t="s">
        <v>508</v>
      </c>
      <c r="U116" s="3" t="s">
        <v>30</v>
      </c>
      <c r="V116" s="6">
        <v>41275</v>
      </c>
      <c r="W116" s="7">
        <v>100</v>
      </c>
      <c r="X116" s="3" t="s">
        <v>31</v>
      </c>
      <c r="Y116" s="8" t="str">
        <f>HYPERLINK("http://brown.edu/academics/medical/admission/coursework","Click Here For Prerequisites")</f>
        <v>Click Here For Prerequisites</v>
      </c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ht="75" customHeight="1" x14ac:dyDescent="0.25">
      <c r="A117" s="23" t="str">
        <f>HYPERLINK("http://academicdepartments.musc.edu/esl/bulletin/medicine/admiss.html","Medical University of South Carolina College of Medicine")</f>
        <v>Medical University of South Carolina College of Medicine</v>
      </c>
      <c r="B117" s="3" t="s">
        <v>509</v>
      </c>
      <c r="C117" s="3" t="s">
        <v>21</v>
      </c>
      <c r="D117" s="3" t="s">
        <v>22</v>
      </c>
      <c r="E117" s="3" t="s">
        <v>23</v>
      </c>
      <c r="F117" s="5" t="s">
        <v>510</v>
      </c>
      <c r="G117" s="5" t="s">
        <v>511</v>
      </c>
      <c r="H117" s="5" t="s">
        <v>512</v>
      </c>
      <c r="I117" s="21" t="s">
        <v>622</v>
      </c>
      <c r="J117" s="21" t="s">
        <v>622</v>
      </c>
      <c r="K117" s="21" t="s">
        <v>622</v>
      </c>
      <c r="L117" s="19" t="s">
        <v>35</v>
      </c>
      <c r="M117" s="19" t="s">
        <v>861</v>
      </c>
      <c r="N117" s="21" t="s">
        <v>622</v>
      </c>
      <c r="O117" s="15" t="s">
        <v>23</v>
      </c>
      <c r="P117" s="15" t="s">
        <v>23</v>
      </c>
      <c r="Q117" s="15" t="s">
        <v>23</v>
      </c>
      <c r="R117" s="19" t="s">
        <v>23</v>
      </c>
      <c r="S117" s="15" t="s">
        <v>28</v>
      </c>
      <c r="T117" s="3" t="s">
        <v>183</v>
      </c>
      <c r="U117" s="3" t="s">
        <v>44</v>
      </c>
      <c r="V117" s="6">
        <v>41669</v>
      </c>
      <c r="W117" s="7">
        <v>95</v>
      </c>
      <c r="X117" s="3" t="s">
        <v>31</v>
      </c>
      <c r="Y117" s="8" t="str">
        <f>HYPERLINK("http://academicdepartments.musc.edu/esl/bulletin/medicine/admiss.html","Click Here For Prerequisites")</f>
        <v>Click Here For Prerequisites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ht="69" customHeight="1" x14ac:dyDescent="0.25">
      <c r="A118" s="4" t="str">
        <f>HYPERLINK("http://admissions.med.sc.edu/admissions.requirements.asp","University of South Carolina School of Medicine")</f>
        <v>University of South Carolina School of Medicine</v>
      </c>
      <c r="B118" s="3" t="s">
        <v>509</v>
      </c>
      <c r="C118" s="3" t="s">
        <v>21</v>
      </c>
      <c r="D118" s="3" t="s">
        <v>22</v>
      </c>
      <c r="E118" s="3" t="s">
        <v>23</v>
      </c>
      <c r="F118" s="5" t="s">
        <v>513</v>
      </c>
      <c r="G118" s="5" t="s">
        <v>514</v>
      </c>
      <c r="H118" s="5" t="s">
        <v>515</v>
      </c>
      <c r="I118" s="21" t="s">
        <v>622</v>
      </c>
      <c r="J118" s="21" t="s">
        <v>622</v>
      </c>
      <c r="K118" s="21" t="s">
        <v>622</v>
      </c>
      <c r="L118" s="19" t="s">
        <v>35</v>
      </c>
      <c r="M118" s="19" t="s">
        <v>863</v>
      </c>
      <c r="N118" s="19" t="s">
        <v>617</v>
      </c>
      <c r="O118" s="15" t="s">
        <v>23</v>
      </c>
      <c r="P118" s="15" t="s">
        <v>23</v>
      </c>
      <c r="Q118" s="15" t="s">
        <v>23</v>
      </c>
      <c r="R118" s="19" t="s">
        <v>862</v>
      </c>
      <c r="S118" s="15" t="s">
        <v>28</v>
      </c>
      <c r="T118" s="3" t="s">
        <v>233</v>
      </c>
      <c r="U118" s="3" t="s">
        <v>44</v>
      </c>
      <c r="V118" s="6">
        <v>40179</v>
      </c>
      <c r="W118" s="7">
        <v>95</v>
      </c>
      <c r="X118" s="3" t="s">
        <v>69</v>
      </c>
      <c r="Y118" s="8" t="str">
        <f>HYPERLINK("http://admissions.med.sc.edu/admissions.requirements.asp","Click Here For Prerequisites")</f>
        <v>Click Here For Prerequisites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ht="75.75" customHeight="1" x14ac:dyDescent="0.25">
      <c r="A119" s="4" t="str">
        <f>HYPERLINK("http://www.greenvillemed.sc.edu/admission.shtml","University of South Carolina School of Medicine - Greenville New (Prelim Accreditation 2012)")</f>
        <v>University of South Carolina School of Medicine - Greenville New (Prelim Accreditation 2012)</v>
      </c>
      <c r="B119" s="3" t="s">
        <v>509</v>
      </c>
      <c r="C119" s="3" t="s">
        <v>21</v>
      </c>
      <c r="D119" s="3" t="s">
        <v>22</v>
      </c>
      <c r="E119" s="3" t="s">
        <v>22</v>
      </c>
      <c r="F119" s="5" t="s">
        <v>516</v>
      </c>
      <c r="G119" s="5" t="s">
        <v>517</v>
      </c>
      <c r="H119" s="5" t="s">
        <v>518</v>
      </c>
      <c r="I119" s="21" t="s">
        <v>622</v>
      </c>
      <c r="J119" s="21" t="s">
        <v>626</v>
      </c>
      <c r="K119" s="21" t="s">
        <v>622</v>
      </c>
      <c r="L119" s="19" t="s">
        <v>35</v>
      </c>
      <c r="M119" s="19" t="s">
        <v>867</v>
      </c>
      <c r="N119" s="21" t="s">
        <v>626</v>
      </c>
      <c r="O119" s="15" t="s">
        <v>23</v>
      </c>
      <c r="P119" s="15" t="s">
        <v>23</v>
      </c>
      <c r="Q119" s="15" t="s">
        <v>23</v>
      </c>
      <c r="R119" s="19" t="s">
        <v>865</v>
      </c>
      <c r="S119" s="19" t="s">
        <v>866</v>
      </c>
      <c r="T119" s="3" t="s">
        <v>67</v>
      </c>
      <c r="U119" s="3" t="s">
        <v>30</v>
      </c>
      <c r="V119" s="6">
        <v>41275</v>
      </c>
      <c r="W119" s="7">
        <v>95</v>
      </c>
      <c r="X119" s="3" t="s">
        <v>31</v>
      </c>
      <c r="Y119" s="8" t="str">
        <f>HYPERLINK("http://www.greenvillemed.sc.edu/admission.shtml","Click Here For Prerequisites")</f>
        <v>Click Here For Prerequisites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ht="45" customHeight="1" x14ac:dyDescent="0.25">
      <c r="A120" s="4" t="str">
        <f>HYPERLINK("http://www.usd.edu/medical-school/medical-doctor-program/application-requirements.cfm","Sanford School of Medicine at the University of South Dakota")</f>
        <v>Sanford School of Medicine at the University of South Dakota</v>
      </c>
      <c r="B120" s="3" t="s">
        <v>519</v>
      </c>
      <c r="C120" s="3" t="s">
        <v>21</v>
      </c>
      <c r="D120" s="3" t="s">
        <v>30</v>
      </c>
      <c r="E120" s="3" t="s">
        <v>23</v>
      </c>
      <c r="F120" s="5" t="s">
        <v>520</v>
      </c>
      <c r="G120" s="5" t="s">
        <v>521</v>
      </c>
      <c r="H120" s="5" t="s">
        <v>522</v>
      </c>
      <c r="I120" s="21" t="s">
        <v>622</v>
      </c>
      <c r="J120" s="21" t="s">
        <v>626</v>
      </c>
      <c r="K120" s="21" t="s">
        <v>622</v>
      </c>
      <c r="L120" s="19" t="s">
        <v>22</v>
      </c>
      <c r="M120" s="19" t="s">
        <v>869</v>
      </c>
      <c r="N120" s="21" t="s">
        <v>622</v>
      </c>
      <c r="O120" s="19" t="s">
        <v>670</v>
      </c>
      <c r="P120" s="15" t="s">
        <v>23</v>
      </c>
      <c r="Q120" s="19" t="s">
        <v>689</v>
      </c>
      <c r="R120" s="19" t="s">
        <v>23</v>
      </c>
      <c r="S120" s="19" t="s">
        <v>868</v>
      </c>
      <c r="T120" s="3" t="s">
        <v>325</v>
      </c>
      <c r="U120" s="3" t="s">
        <v>30</v>
      </c>
      <c r="V120" s="6">
        <v>41229</v>
      </c>
      <c r="W120" s="3" t="s">
        <v>523</v>
      </c>
      <c r="X120" s="3" t="s">
        <v>45</v>
      </c>
      <c r="Y120" s="8" t="str">
        <f>HYPERLINK("http://www.usd.edu/medical-school/medical-doctor-program/application-requirements.cfm","Click Here For Prerequisites")</f>
        <v>Click Here For Prerequisites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ht="47.25" customHeight="1" x14ac:dyDescent="0.25">
      <c r="A121" s="4" t="str">
        <f>HYPERLINK("http://www.etsu.edu/com/sa/admissions/requirements/academicreq.aspx","East Tennessee State University , James H. Quillen College of Medicine")</f>
        <v>East Tennessee State University , James H. Quillen College of Medicine</v>
      </c>
      <c r="B121" s="3" t="s">
        <v>524</v>
      </c>
      <c r="C121" s="3" t="s">
        <v>21</v>
      </c>
      <c r="D121" s="3" t="s">
        <v>30</v>
      </c>
      <c r="E121" s="3" t="s">
        <v>28</v>
      </c>
      <c r="F121" s="5" t="s">
        <v>525</v>
      </c>
      <c r="G121" s="5" t="s">
        <v>526</v>
      </c>
      <c r="H121" s="5" t="s">
        <v>527</v>
      </c>
      <c r="I121" s="21" t="s">
        <v>617</v>
      </c>
      <c r="J121" s="21" t="s">
        <v>617</v>
      </c>
      <c r="K121" s="21" t="s">
        <v>617</v>
      </c>
      <c r="L121" s="19" t="s">
        <v>35</v>
      </c>
      <c r="M121" s="15" t="s">
        <v>23</v>
      </c>
      <c r="N121" s="19" t="s">
        <v>617</v>
      </c>
      <c r="O121" s="15" t="s">
        <v>23</v>
      </c>
      <c r="P121" s="15" t="s">
        <v>23</v>
      </c>
      <c r="Q121" s="15" t="s">
        <v>23</v>
      </c>
      <c r="R121" s="19" t="s">
        <v>617</v>
      </c>
      <c r="S121" s="19" t="s">
        <v>73</v>
      </c>
      <c r="T121" s="3" t="s">
        <v>67</v>
      </c>
      <c r="U121" s="3" t="s">
        <v>44</v>
      </c>
      <c r="V121" s="6">
        <v>41275</v>
      </c>
      <c r="W121" s="7">
        <v>50</v>
      </c>
      <c r="X121" s="3" t="s">
        <v>45</v>
      </c>
      <c r="Y121" s="8" t="str">
        <f>HYPERLINK("http://www.etsu.edu/com/sa/admissions/requirements/academicreq.aspx","Click Here For Prerequisites")</f>
        <v>Click Here For Prerequisites</v>
      </c>
      <c r="Z121" s="18" t="s">
        <v>762</v>
      </c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ht="63" customHeight="1" x14ac:dyDescent="0.25">
      <c r="A122" s="4" t="str">
        <f>HYPERLINK("http://www.mmc.edu/prospectivestudents/admissions/school-of-medicine/index.html","Meharry Medical College")</f>
        <v>Meharry Medical College</v>
      </c>
      <c r="B122" s="3" t="s">
        <v>524</v>
      </c>
      <c r="C122" s="3" t="s">
        <v>57</v>
      </c>
      <c r="D122" s="3" t="s">
        <v>22</v>
      </c>
      <c r="E122" s="3" t="s">
        <v>244</v>
      </c>
      <c r="F122" s="5" t="s">
        <v>528</v>
      </c>
      <c r="G122" s="5" t="s">
        <v>529</v>
      </c>
      <c r="H122" s="5" t="s">
        <v>530</v>
      </c>
      <c r="I122" s="21" t="s">
        <v>622</v>
      </c>
      <c r="J122" s="21" t="s">
        <v>622</v>
      </c>
      <c r="K122" s="21" t="s">
        <v>622</v>
      </c>
      <c r="L122" s="15" t="s">
        <v>23</v>
      </c>
      <c r="M122" s="15" t="s">
        <v>23</v>
      </c>
      <c r="N122" s="21" t="s">
        <v>622</v>
      </c>
      <c r="O122" s="15" t="s">
        <v>23</v>
      </c>
      <c r="P122" s="15" t="s">
        <v>23</v>
      </c>
      <c r="Q122" s="15" t="s">
        <v>23</v>
      </c>
      <c r="R122" s="19" t="s">
        <v>870</v>
      </c>
      <c r="S122" s="15" t="s">
        <v>28</v>
      </c>
      <c r="T122" s="3" t="s">
        <v>107</v>
      </c>
      <c r="U122" s="3" t="s">
        <v>30</v>
      </c>
      <c r="V122" s="6">
        <v>41276</v>
      </c>
      <c r="W122" s="7">
        <v>65</v>
      </c>
      <c r="X122" s="3" t="s">
        <v>174</v>
      </c>
      <c r="Y122" s="8" t="str">
        <f>HYPERLINK("http://www.mmc.edu/prospectivestudents/admissions/school-of-medicine/index.html","Click Here For Prerequisites")</f>
        <v>Click Here For Prerequisites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ht="54.75" customHeight="1" x14ac:dyDescent="0.25">
      <c r="A123" s="4" t="str">
        <f>HYPERLINK("http://www.uthsc.edu/Medicine/Admissions/admissionsrequirements.php","University of Tennessee Health Science Center, College of Medicine")</f>
        <v>University of Tennessee Health Science Center, College of Medicine</v>
      </c>
      <c r="B123" s="3" t="s">
        <v>524</v>
      </c>
      <c r="C123" s="3" t="s">
        <v>21</v>
      </c>
      <c r="D123" s="3" t="s">
        <v>22</v>
      </c>
      <c r="E123" s="3" t="s">
        <v>23</v>
      </c>
      <c r="F123" s="5" t="s">
        <v>531</v>
      </c>
      <c r="G123" s="5" t="s">
        <v>532</v>
      </c>
      <c r="H123" s="5" t="s">
        <v>533</v>
      </c>
      <c r="I123" s="21" t="s">
        <v>622</v>
      </c>
      <c r="J123" s="21" t="s">
        <v>622</v>
      </c>
      <c r="K123" s="21" t="s">
        <v>622</v>
      </c>
      <c r="L123" s="19" t="s">
        <v>35</v>
      </c>
      <c r="M123" s="15" t="s">
        <v>23</v>
      </c>
      <c r="N123" s="21" t="s">
        <v>622</v>
      </c>
      <c r="O123" s="15" t="s">
        <v>23</v>
      </c>
      <c r="P123" s="15" t="s">
        <v>23</v>
      </c>
      <c r="Q123" s="15" t="s">
        <v>23</v>
      </c>
      <c r="R123" s="19" t="s">
        <v>872</v>
      </c>
      <c r="S123" s="19" t="s">
        <v>871</v>
      </c>
      <c r="T123" s="3" t="s">
        <v>67</v>
      </c>
      <c r="U123" s="3" t="s">
        <v>30</v>
      </c>
      <c r="V123" s="6">
        <v>40422</v>
      </c>
      <c r="W123" s="7">
        <v>0</v>
      </c>
      <c r="X123" s="3" t="s">
        <v>31</v>
      </c>
      <c r="Y123" s="8" t="str">
        <f>HYPERLINK("http://www.uthsc.edu/Medicine/Admissions/admissionsrequirements.php","Click Here For Prerequisites")</f>
        <v>Click Here For Prerequisites</v>
      </c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ht="45.75" customHeight="1" x14ac:dyDescent="0.25">
      <c r="A124" s="23" t="str">
        <f>HYPERLINK("https://medschool.vanderbilt.edu/admissions/admission-requirements#required","Vanderbilt University School of Medicine")</f>
        <v>Vanderbilt University School of Medicine</v>
      </c>
      <c r="B124" s="3" t="s">
        <v>524</v>
      </c>
      <c r="C124" s="3" t="s">
        <v>57</v>
      </c>
      <c r="D124" s="3" t="s">
        <v>22</v>
      </c>
      <c r="E124" s="3" t="s">
        <v>22</v>
      </c>
      <c r="F124" s="5" t="s">
        <v>534</v>
      </c>
      <c r="G124" s="5" t="s">
        <v>535</v>
      </c>
      <c r="H124" s="5" t="s">
        <v>536</v>
      </c>
      <c r="I124" s="21" t="s">
        <v>617</v>
      </c>
      <c r="J124" s="21" t="s">
        <v>617</v>
      </c>
      <c r="K124" s="21" t="s">
        <v>617</v>
      </c>
      <c r="L124" s="19" t="s">
        <v>35</v>
      </c>
      <c r="M124" s="15" t="s">
        <v>23</v>
      </c>
      <c r="N124" s="19" t="s">
        <v>617</v>
      </c>
      <c r="O124" s="15" t="s">
        <v>23</v>
      </c>
      <c r="P124" s="15" t="s">
        <v>23</v>
      </c>
      <c r="Q124" s="19" t="s">
        <v>35</v>
      </c>
      <c r="R124" s="19" t="s">
        <v>617</v>
      </c>
      <c r="S124" s="19" t="s">
        <v>73</v>
      </c>
      <c r="T124" s="3" t="s">
        <v>67</v>
      </c>
      <c r="U124" s="3" t="s">
        <v>44</v>
      </c>
      <c r="V124" s="6">
        <v>40935</v>
      </c>
      <c r="W124" s="7">
        <v>85</v>
      </c>
      <c r="X124" s="3" t="s">
        <v>537</v>
      </c>
      <c r="Y124" s="8" t="str">
        <f>HYPERLINK("https://medschool.vanderbilt.edu/admissions/admission-requirements#required","Click Here For Prerequisites")</f>
        <v>Click Here For Prerequisites</v>
      </c>
      <c r="Z124" s="18" t="s">
        <v>762</v>
      </c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ht="63.75" customHeight="1" x14ac:dyDescent="0.25">
      <c r="A125" s="23" t="str">
        <f>HYPERLINK("http://www.bcm.edu/admissions/admissionsrequirements","Baylor College of Medicine")</f>
        <v>Baylor College of Medicine</v>
      </c>
      <c r="B125" s="3" t="s">
        <v>538</v>
      </c>
      <c r="C125" s="3" t="s">
        <v>57</v>
      </c>
      <c r="D125" s="3" t="s">
        <v>22</v>
      </c>
      <c r="E125" s="3" t="s">
        <v>22</v>
      </c>
      <c r="F125" s="5" t="s">
        <v>539</v>
      </c>
      <c r="G125" s="5" t="s">
        <v>540</v>
      </c>
      <c r="H125" s="5" t="s">
        <v>541</v>
      </c>
      <c r="I125" s="21" t="s">
        <v>23</v>
      </c>
      <c r="J125" s="21" t="s">
        <v>873</v>
      </c>
      <c r="K125" s="21" t="s">
        <v>23</v>
      </c>
      <c r="L125" s="15" t="s">
        <v>22</v>
      </c>
      <c r="M125" s="15" t="s">
        <v>22</v>
      </c>
      <c r="N125" s="19" t="s">
        <v>23</v>
      </c>
      <c r="O125" s="19" t="s">
        <v>65</v>
      </c>
      <c r="P125" s="15" t="s">
        <v>23</v>
      </c>
      <c r="Q125" s="19" t="s">
        <v>35</v>
      </c>
      <c r="R125" s="19" t="s">
        <v>874</v>
      </c>
      <c r="S125" s="19" t="s">
        <v>875</v>
      </c>
      <c r="T125" s="3" t="s">
        <v>144</v>
      </c>
      <c r="U125" s="3" t="s">
        <v>30</v>
      </c>
      <c r="V125" s="6">
        <v>41153</v>
      </c>
      <c r="W125" s="7">
        <v>100</v>
      </c>
      <c r="X125" s="3" t="s">
        <v>45</v>
      </c>
      <c r="Y125" s="8" t="str">
        <f>HYPERLINK("https://www.bcm.edu/admissions/admissionsrequirements","Click Here For Prerequisites")</f>
        <v>Click Here For Prerequisites</v>
      </c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ht="52.5" customHeight="1" x14ac:dyDescent="0.25">
      <c r="A126" s="23" t="str">
        <f>HYPERLINK("http://medicine.tamhsc.edu/admissions/faq.html#courses","Texas A&amp;M Health Science Center, College of Medicine")</f>
        <v>Texas A&amp;M Health Science Center, College of Medicine</v>
      </c>
      <c r="B126" s="3" t="s">
        <v>538</v>
      </c>
      <c r="C126" s="3" t="s">
        <v>21</v>
      </c>
      <c r="D126" s="3" t="s">
        <v>22</v>
      </c>
      <c r="E126" s="3" t="s">
        <v>23</v>
      </c>
      <c r="F126" s="5" t="s">
        <v>542</v>
      </c>
      <c r="G126" s="5" t="s">
        <v>543</v>
      </c>
      <c r="H126" s="5" t="s">
        <v>544</v>
      </c>
      <c r="I126" s="21" t="s">
        <v>622</v>
      </c>
      <c r="J126" s="21" t="s">
        <v>622</v>
      </c>
      <c r="K126" s="21" t="s">
        <v>622</v>
      </c>
      <c r="L126" s="19" t="s">
        <v>689</v>
      </c>
      <c r="M126" s="19" t="s">
        <v>65</v>
      </c>
      <c r="N126" s="21" t="s">
        <v>622</v>
      </c>
      <c r="O126" s="19" t="s">
        <v>65</v>
      </c>
      <c r="P126" s="15" t="s">
        <v>23</v>
      </c>
      <c r="Q126" s="19" t="s">
        <v>22</v>
      </c>
      <c r="R126" s="19" t="s">
        <v>692</v>
      </c>
      <c r="S126" s="15" t="s">
        <v>28</v>
      </c>
      <c r="T126" s="3" t="s">
        <v>410</v>
      </c>
      <c r="U126" s="3" t="s">
        <v>30</v>
      </c>
      <c r="V126" s="6">
        <v>40796</v>
      </c>
      <c r="W126" s="7">
        <v>60</v>
      </c>
      <c r="X126" s="3" t="s">
        <v>31</v>
      </c>
      <c r="Y126" s="8" t="str">
        <f>HYPERLINK("http://medicine.tamhsc.edu/admissions/faq.html#courses","Click Here For Prerequisites")</f>
        <v>Click Here For Prerequisites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ht="61.5" customHeight="1" x14ac:dyDescent="0.25">
      <c r="A127" s="4" t="str">
        <f>HYPERLINK("http://www.ttuhsc.edu/fostersom/admissions/requirements.aspx","Texas Tech University Health Sciences Center Paul L. Foster School of Medicine")</f>
        <v>Texas Tech University Health Sciences Center Paul L. Foster School of Medicine</v>
      </c>
      <c r="B127" s="3" t="s">
        <v>538</v>
      </c>
      <c r="C127" s="3" t="s">
        <v>21</v>
      </c>
      <c r="D127" s="3" t="s">
        <v>22</v>
      </c>
      <c r="E127" s="3" t="s">
        <v>23</v>
      </c>
      <c r="F127" s="5" t="s">
        <v>545</v>
      </c>
      <c r="G127" s="5" t="s">
        <v>546</v>
      </c>
      <c r="H127" s="5" t="s">
        <v>547</v>
      </c>
      <c r="I127" s="21" t="s">
        <v>622</v>
      </c>
      <c r="J127" s="21" t="s">
        <v>622</v>
      </c>
      <c r="K127" s="21" t="s">
        <v>622</v>
      </c>
      <c r="L127" s="19" t="s">
        <v>22</v>
      </c>
      <c r="M127" s="19" t="s">
        <v>670</v>
      </c>
      <c r="N127" s="21" t="s">
        <v>622</v>
      </c>
      <c r="O127" s="19" t="s">
        <v>65</v>
      </c>
      <c r="P127" s="19" t="s">
        <v>23</v>
      </c>
      <c r="Q127" s="19" t="s">
        <v>22</v>
      </c>
      <c r="R127" s="19" t="s">
        <v>692</v>
      </c>
      <c r="S127" s="19" t="s">
        <v>876</v>
      </c>
      <c r="T127" s="3" t="s">
        <v>410</v>
      </c>
      <c r="U127" s="3" t="s">
        <v>44</v>
      </c>
      <c r="V127" s="6">
        <v>40544</v>
      </c>
      <c r="W127" s="7">
        <v>60</v>
      </c>
      <c r="X127" s="3" t="s">
        <v>45</v>
      </c>
      <c r="Y127" s="8" t="str">
        <f>HYPERLINK("http://www.ttuhsc.edu/fostersom/admissions/requirements.aspx","Click Here For Prerequisites")</f>
        <v>Click Here For Prerequisites</v>
      </c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ht="46.5" customHeight="1" x14ac:dyDescent="0.25">
      <c r="A128" s="4" t="str">
        <f>HYPERLINK("http://www.ttuhsc.edu/som/admissions/reqs.aspx","Texas Tech University Health Sciences Center School of Medicine")</f>
        <v>Texas Tech University Health Sciences Center School of Medicine</v>
      </c>
      <c r="B128" s="3" t="s">
        <v>538</v>
      </c>
      <c r="C128" s="3" t="s">
        <v>21</v>
      </c>
      <c r="D128" s="3" t="s">
        <v>22</v>
      </c>
      <c r="E128" s="3" t="s">
        <v>23</v>
      </c>
      <c r="F128" s="5" t="s">
        <v>548</v>
      </c>
      <c r="G128" s="5" t="s">
        <v>549</v>
      </c>
      <c r="H128" s="5" t="s">
        <v>550</v>
      </c>
      <c r="I128" s="21" t="s">
        <v>622</v>
      </c>
      <c r="J128" s="21" t="s">
        <v>622</v>
      </c>
      <c r="K128" s="21" t="s">
        <v>622</v>
      </c>
      <c r="L128" s="15" t="s">
        <v>22</v>
      </c>
      <c r="M128" s="19" t="s">
        <v>670</v>
      </c>
      <c r="N128" s="21" t="s">
        <v>622</v>
      </c>
      <c r="O128" s="19" t="s">
        <v>65</v>
      </c>
      <c r="P128" s="15" t="s">
        <v>23</v>
      </c>
      <c r="Q128" s="19" t="s">
        <v>22</v>
      </c>
      <c r="R128" s="19" t="s">
        <v>692</v>
      </c>
      <c r="S128" s="15" t="s">
        <v>551</v>
      </c>
      <c r="T128" s="3" t="s">
        <v>67</v>
      </c>
      <c r="U128" s="3" t="s">
        <v>30</v>
      </c>
      <c r="V128" s="6">
        <v>40544</v>
      </c>
      <c r="W128" s="3" t="s">
        <v>329</v>
      </c>
      <c r="X128" s="3" t="s">
        <v>31</v>
      </c>
      <c r="Y128" s="8" t="str">
        <f>HYPERLINK("http://www.ttuhsc.edu/som/admissions/reqs.aspx","Click Here For Prerequisites")</f>
        <v>Click Here For Prerequisites</v>
      </c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ht="117.75" customHeight="1" x14ac:dyDescent="0.25">
      <c r="A129" s="23" t="str">
        <f>HYPERLINK("http://www.utmb.edu/somstudentaffairs/admissions/admission_req.html","University of Texas Medical School at Galveston")</f>
        <v>University of Texas Medical School at Galveston</v>
      </c>
      <c r="B129" s="3" t="s">
        <v>538</v>
      </c>
      <c r="C129" s="3" t="s">
        <v>21</v>
      </c>
      <c r="D129" s="3" t="s">
        <v>22</v>
      </c>
      <c r="E129" s="3" t="s">
        <v>23</v>
      </c>
      <c r="F129" s="5" t="s">
        <v>552</v>
      </c>
      <c r="G129" s="5" t="s">
        <v>553</v>
      </c>
      <c r="H129" s="5" t="s">
        <v>554</v>
      </c>
      <c r="I129" s="21" t="s">
        <v>622</v>
      </c>
      <c r="J129" s="21" t="s">
        <v>622</v>
      </c>
      <c r="K129" s="21" t="s">
        <v>622</v>
      </c>
      <c r="L129" s="19" t="s">
        <v>35</v>
      </c>
      <c r="M129" s="19" t="s">
        <v>879</v>
      </c>
      <c r="N129" s="21" t="s">
        <v>622</v>
      </c>
      <c r="O129" s="19" t="s">
        <v>65</v>
      </c>
      <c r="P129" s="19" t="s">
        <v>789</v>
      </c>
      <c r="Q129" s="19" t="s">
        <v>878</v>
      </c>
      <c r="R129" s="19" t="s">
        <v>877</v>
      </c>
      <c r="S129" s="15" t="s">
        <v>28</v>
      </c>
      <c r="T129" s="3" t="s">
        <v>555</v>
      </c>
      <c r="U129" s="3" t="s">
        <v>44</v>
      </c>
      <c r="V129" s="6">
        <v>40179</v>
      </c>
      <c r="W129" s="3" t="s">
        <v>102</v>
      </c>
      <c r="X129" s="3" t="s">
        <v>31</v>
      </c>
      <c r="Y129" s="8" t="str">
        <f>HYPERLINK("http://www.utmb.edu/somstudentaffairs/admissions/admission_req.html","Click Here For Prerequisites")</f>
        <v>Click Here For Prerequisites</v>
      </c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ht="75.75" customHeight="1" x14ac:dyDescent="0.25">
      <c r="A130" s="4" t="str">
        <f>HYPERLINK("https://med.uth.edu/admissions/admissions-criteria/","University of Texas Medical School at Houston")</f>
        <v>University of Texas Medical School at Houston</v>
      </c>
      <c r="B130" s="3" t="s">
        <v>538</v>
      </c>
      <c r="C130" s="3" t="s">
        <v>21</v>
      </c>
      <c r="D130" s="3" t="s">
        <v>22</v>
      </c>
      <c r="E130" s="3" t="s">
        <v>22</v>
      </c>
      <c r="F130" s="5" t="s">
        <v>556</v>
      </c>
      <c r="G130" s="5" t="s">
        <v>557</v>
      </c>
      <c r="H130" s="5" t="s">
        <v>558</v>
      </c>
      <c r="I130" s="21" t="s">
        <v>622</v>
      </c>
      <c r="J130" s="21" t="s">
        <v>622</v>
      </c>
      <c r="K130" s="21" t="s">
        <v>622</v>
      </c>
      <c r="L130" s="15" t="s">
        <v>23</v>
      </c>
      <c r="M130" s="19" t="s">
        <v>670</v>
      </c>
      <c r="N130" s="21" t="s">
        <v>622</v>
      </c>
      <c r="O130" s="15" t="s">
        <v>23</v>
      </c>
      <c r="P130" s="15" t="s">
        <v>23</v>
      </c>
      <c r="Q130" s="15" t="s">
        <v>23</v>
      </c>
      <c r="R130" s="19" t="s">
        <v>880</v>
      </c>
      <c r="S130" s="15" t="s">
        <v>28</v>
      </c>
      <c r="T130" s="3" t="s">
        <v>144</v>
      </c>
      <c r="U130" s="3" t="s">
        <v>30</v>
      </c>
      <c r="V130" s="6">
        <v>40544</v>
      </c>
      <c r="W130" s="3" t="s">
        <v>102</v>
      </c>
      <c r="X130" s="3" t="s">
        <v>45</v>
      </c>
      <c r="Y130" s="8" t="str">
        <f>HYPERLINK("https://med.uth.edu/admissions/admissions-criteria/","Click Here For Prerequisites")</f>
        <v>Click Here For Prerequisites</v>
      </c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ht="48.75" customHeight="1" x14ac:dyDescent="0.25">
      <c r="A131" s="4" t="str">
        <f>HYPERLINK("http://som.uthscsa.edu/Admissions/prerequisites.asp","University of Texas Medical School at San Antonio")</f>
        <v>University of Texas Medical School at San Antonio</v>
      </c>
      <c r="B131" s="3" t="s">
        <v>538</v>
      </c>
      <c r="C131" s="3" t="s">
        <v>21</v>
      </c>
      <c r="D131" s="3" t="s">
        <v>22</v>
      </c>
      <c r="E131" s="3" t="s">
        <v>23</v>
      </c>
      <c r="F131" s="5" t="s">
        <v>559</v>
      </c>
      <c r="G131" s="5" t="s">
        <v>560</v>
      </c>
      <c r="H131" s="5" t="s">
        <v>561</v>
      </c>
      <c r="I131" s="21" t="s">
        <v>622</v>
      </c>
      <c r="J131" s="21" t="s">
        <v>622</v>
      </c>
      <c r="K131" s="21" t="s">
        <v>622</v>
      </c>
      <c r="L131" s="19" t="s">
        <v>22</v>
      </c>
      <c r="M131" s="19" t="s">
        <v>670</v>
      </c>
      <c r="N131" s="21" t="s">
        <v>622</v>
      </c>
      <c r="O131" s="19" t="s">
        <v>65</v>
      </c>
      <c r="P131" s="15" t="s">
        <v>23</v>
      </c>
      <c r="Q131" s="19" t="s">
        <v>22</v>
      </c>
      <c r="R131" s="19" t="s">
        <v>692</v>
      </c>
      <c r="S131" s="15" t="s">
        <v>28</v>
      </c>
      <c r="T131" s="3" t="s">
        <v>67</v>
      </c>
      <c r="U131" s="3" t="s">
        <v>562</v>
      </c>
      <c r="V131" s="6">
        <v>40909</v>
      </c>
      <c r="W131" s="3" t="s">
        <v>102</v>
      </c>
      <c r="X131" s="3" t="s">
        <v>45</v>
      </c>
      <c r="Y131" s="8" t="str">
        <f>HYPERLINK("http://som.uthscsa.edu/Admissions/prerequisites.asp","Click Here For Prerequisites")</f>
        <v>Click Here For Prerequisites</v>
      </c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ht="77.25" customHeight="1" x14ac:dyDescent="0.25">
      <c r="A132" s="4" t="str">
        <f>HYPERLINK("http://www.utsouthwestern.edu/education/medical-school/admissions/apply/process/prerequisites.html","University of Texas Southwestern Medical Center at Dallas Dallas Medical School")</f>
        <v>University of Texas Southwestern Medical Center at Dallas Dallas Medical School</v>
      </c>
      <c r="B132" s="3" t="s">
        <v>538</v>
      </c>
      <c r="C132" s="3" t="s">
        <v>21</v>
      </c>
      <c r="D132" s="3" t="s">
        <v>22</v>
      </c>
      <c r="E132" s="3" t="s">
        <v>23</v>
      </c>
      <c r="F132" s="5" t="s">
        <v>563</v>
      </c>
      <c r="G132" s="5" t="s">
        <v>564</v>
      </c>
      <c r="H132" s="5" t="s">
        <v>565</v>
      </c>
      <c r="I132" s="21" t="s">
        <v>626</v>
      </c>
      <c r="J132" s="21" t="s">
        <v>622</v>
      </c>
      <c r="K132" s="21" t="s">
        <v>622</v>
      </c>
      <c r="L132" s="19" t="s">
        <v>22</v>
      </c>
      <c r="M132" s="19" t="s">
        <v>670</v>
      </c>
      <c r="N132" s="21" t="s">
        <v>622</v>
      </c>
      <c r="O132" s="19" t="s">
        <v>65</v>
      </c>
      <c r="P132" s="19" t="s">
        <v>789</v>
      </c>
      <c r="Q132" s="19" t="s">
        <v>790</v>
      </c>
      <c r="R132" s="19" t="s">
        <v>880</v>
      </c>
      <c r="S132" s="15" t="s">
        <v>28</v>
      </c>
      <c r="T132" s="3" t="s">
        <v>67</v>
      </c>
      <c r="U132" s="3" t="s">
        <v>30</v>
      </c>
      <c r="V132" s="6">
        <v>40544</v>
      </c>
      <c r="W132" s="7">
        <v>0</v>
      </c>
      <c r="X132" s="3" t="s">
        <v>45</v>
      </c>
      <c r="Y132" s="8" t="str">
        <f>HYPERLINK("http://www.utsouthwestern.edu/education/medical-school/admissions/apply/process/prerequisites.html","Click Here For Prerequisites")</f>
        <v>Click Here For Prerequisites</v>
      </c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s="13" customFormat="1" ht="77.25" customHeight="1" x14ac:dyDescent="0.25">
      <c r="A133" s="24" t="s">
        <v>881</v>
      </c>
      <c r="F133" s="5"/>
      <c r="G133" s="5"/>
      <c r="H133" s="5"/>
      <c r="I133" s="21" t="s">
        <v>729</v>
      </c>
      <c r="J133" s="21" t="s">
        <v>729</v>
      </c>
      <c r="K133" s="21" t="s">
        <v>883</v>
      </c>
      <c r="L133" s="19" t="s">
        <v>22</v>
      </c>
      <c r="M133" s="19" t="s">
        <v>884</v>
      </c>
      <c r="N133" s="21" t="s">
        <v>883</v>
      </c>
      <c r="O133" s="19" t="s">
        <v>65</v>
      </c>
      <c r="P133" s="19" t="s">
        <v>23</v>
      </c>
      <c r="Q133" s="19" t="s">
        <v>22</v>
      </c>
      <c r="R133" s="19" t="s">
        <v>794</v>
      </c>
      <c r="S133" s="19" t="s">
        <v>23</v>
      </c>
      <c r="V133" s="6"/>
      <c r="W133" s="7"/>
      <c r="Y133" s="8"/>
      <c r="Z133" s="18" t="s">
        <v>885</v>
      </c>
      <c r="AA133" s="11"/>
      <c r="AB133" s="11"/>
      <c r="AC133" s="11"/>
      <c r="AD133" s="11"/>
      <c r="AE133" s="11"/>
      <c r="AF133" s="11"/>
      <c r="AG133" s="11"/>
      <c r="AH133" s="11"/>
      <c r="AI133" s="11"/>
    </row>
    <row r="134" spans="1:35" s="13" customFormat="1" ht="77.25" customHeight="1" x14ac:dyDescent="0.25">
      <c r="A134" s="24" t="s">
        <v>882</v>
      </c>
      <c r="F134" s="5"/>
      <c r="G134" s="5"/>
      <c r="H134" s="5"/>
      <c r="I134" s="21" t="s">
        <v>883</v>
      </c>
      <c r="J134" s="21" t="s">
        <v>883</v>
      </c>
      <c r="K134" s="21" t="s">
        <v>883</v>
      </c>
      <c r="L134" s="19" t="s">
        <v>22</v>
      </c>
      <c r="M134" s="19" t="s">
        <v>670</v>
      </c>
      <c r="N134" s="21" t="s">
        <v>883</v>
      </c>
      <c r="O134" s="19" t="s">
        <v>65</v>
      </c>
      <c r="P134" s="19" t="s">
        <v>23</v>
      </c>
      <c r="Q134" s="19" t="s">
        <v>22</v>
      </c>
      <c r="R134" s="19" t="s">
        <v>692</v>
      </c>
      <c r="S134" s="19" t="s">
        <v>23</v>
      </c>
      <c r="V134" s="6"/>
      <c r="W134" s="7"/>
      <c r="Y134" s="8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</row>
    <row r="135" spans="1:35" ht="63.75" customHeight="1" x14ac:dyDescent="0.25">
      <c r="A135" s="4" t="str">
        <f>HYPERLINK("http://medicine.utah.edu/admissions/begin/premedical.php","University of Utah School of Medicine")</f>
        <v>University of Utah School of Medicine</v>
      </c>
      <c r="B135" s="3" t="s">
        <v>566</v>
      </c>
      <c r="C135" s="3" t="s">
        <v>21</v>
      </c>
      <c r="D135" s="3" t="s">
        <v>22</v>
      </c>
      <c r="E135" s="3" t="s">
        <v>22</v>
      </c>
      <c r="F135" s="5" t="s">
        <v>567</v>
      </c>
      <c r="G135" s="5" t="s">
        <v>568</v>
      </c>
      <c r="H135" s="5" t="s">
        <v>569</v>
      </c>
      <c r="I135" s="21" t="s">
        <v>883</v>
      </c>
      <c r="J135" s="21" t="s">
        <v>883</v>
      </c>
      <c r="K135" s="21" t="s">
        <v>886</v>
      </c>
      <c r="L135" s="19" t="s">
        <v>23</v>
      </c>
      <c r="M135" s="19" t="s">
        <v>23</v>
      </c>
      <c r="N135" s="21" t="s">
        <v>883</v>
      </c>
      <c r="O135" s="15" t="s">
        <v>23</v>
      </c>
      <c r="P135" s="15" t="s">
        <v>23</v>
      </c>
      <c r="Q135" s="15" t="s">
        <v>23</v>
      </c>
      <c r="R135" s="19" t="s">
        <v>888</v>
      </c>
      <c r="S135" s="19" t="s">
        <v>889</v>
      </c>
      <c r="T135" s="3" t="s">
        <v>570</v>
      </c>
      <c r="U135" s="3" t="s">
        <v>28</v>
      </c>
      <c r="V135" s="6">
        <v>41305</v>
      </c>
      <c r="W135" s="7">
        <v>100</v>
      </c>
      <c r="X135" s="3" t="s">
        <v>321</v>
      </c>
      <c r="Y135" s="8" t="str">
        <f>HYPERLINK("http://medicine.utah.edu/admissions/begin/premedical.php","Click Here For Prerequisites")</f>
        <v>Click Here For Prerequisites</v>
      </c>
      <c r="Z135" s="18" t="s">
        <v>887</v>
      </c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ht="31.5" customHeight="1" x14ac:dyDescent="0.25">
      <c r="A136" s="23" t="str">
        <f>HYPERLINK("http://www.evms.edu/education/doctoral_programs/doctor_of_medicine/admissions_criteria/","Eastern Virginia Medical School ")</f>
        <v xml:space="preserve">Eastern Virginia Medical School </v>
      </c>
      <c r="B136" s="3" t="s">
        <v>571</v>
      </c>
      <c r="C136" s="3" t="s">
        <v>21</v>
      </c>
      <c r="D136" s="3" t="s">
        <v>22</v>
      </c>
      <c r="E136" s="3" t="s">
        <v>23</v>
      </c>
      <c r="F136" s="5" t="s">
        <v>572</v>
      </c>
      <c r="G136" s="5" t="s">
        <v>573</v>
      </c>
      <c r="H136" s="5" t="s">
        <v>574</v>
      </c>
      <c r="I136" s="21" t="s">
        <v>883</v>
      </c>
      <c r="J136" s="21" t="s">
        <v>883</v>
      </c>
      <c r="K136" s="21" t="s">
        <v>883</v>
      </c>
      <c r="L136" s="19" t="s">
        <v>35</v>
      </c>
      <c r="M136" s="15" t="s">
        <v>23</v>
      </c>
      <c r="N136" s="21" t="s">
        <v>883</v>
      </c>
      <c r="O136" s="15" t="s">
        <v>23</v>
      </c>
      <c r="P136" s="15" t="s">
        <v>23</v>
      </c>
      <c r="Q136" s="15" t="s">
        <v>23</v>
      </c>
      <c r="R136" s="19" t="s">
        <v>23</v>
      </c>
      <c r="S136" s="15" t="s">
        <v>28</v>
      </c>
      <c r="T136" s="3" t="s">
        <v>575</v>
      </c>
      <c r="U136" s="3" t="s">
        <v>44</v>
      </c>
      <c r="V136" s="6">
        <v>41639</v>
      </c>
      <c r="W136" s="7">
        <v>100</v>
      </c>
      <c r="X136" s="3" t="s">
        <v>45</v>
      </c>
      <c r="Y136" s="8" t="str">
        <f>HYPERLINK("http://www.evms.edu/education/doctoral_programs/doctor_of_medicine/admissions_criteria/","Click Here For Prerequisites")</f>
        <v>Click Here For Prerequisites</v>
      </c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ht="31.5" customHeight="1" x14ac:dyDescent="0.25">
      <c r="A137" s="4" t="str">
        <f>HYPERLINK("http://www.medicine.virginia.edu/education/medical-students/admissions/the-uva-som-1/general-requirements.html","University of Virginia School of Medicine")</f>
        <v>University of Virginia School of Medicine</v>
      </c>
      <c r="B137" s="3" t="s">
        <v>571</v>
      </c>
      <c r="C137" s="3" t="s">
        <v>21</v>
      </c>
      <c r="D137" s="3" t="s">
        <v>22</v>
      </c>
      <c r="E137" s="3" t="s">
        <v>22</v>
      </c>
      <c r="F137" s="5" t="s">
        <v>576</v>
      </c>
      <c r="G137" s="5" t="s">
        <v>577</v>
      </c>
      <c r="H137" s="5" t="s">
        <v>578</v>
      </c>
      <c r="I137" s="21" t="s">
        <v>23</v>
      </c>
      <c r="J137" s="21" t="s">
        <v>23</v>
      </c>
      <c r="K137" s="21" t="s">
        <v>23</v>
      </c>
      <c r="L137" s="19" t="s">
        <v>35</v>
      </c>
      <c r="M137" s="19" t="s">
        <v>864</v>
      </c>
      <c r="N137" s="19" t="s">
        <v>23</v>
      </c>
      <c r="O137" s="15" t="s">
        <v>23</v>
      </c>
      <c r="P137" s="15" t="s">
        <v>23</v>
      </c>
      <c r="Q137" s="19" t="s">
        <v>35</v>
      </c>
      <c r="R137" s="19" t="s">
        <v>23</v>
      </c>
      <c r="S137" s="19" t="s">
        <v>893</v>
      </c>
      <c r="T137" s="3" t="s">
        <v>67</v>
      </c>
      <c r="U137" s="3" t="s">
        <v>44</v>
      </c>
      <c r="V137" s="6">
        <v>41365</v>
      </c>
      <c r="W137" s="7">
        <v>80</v>
      </c>
      <c r="X137" s="3" t="s">
        <v>69</v>
      </c>
      <c r="Y137" s="8" t="str">
        <f>HYPERLINK("http://www.medicine.virginia.edu/education/medical-students/admissions/the-uva-som-1/general-requirements.html","Click Here For Prerequisites")</f>
        <v>Click Here For Prerequisites</v>
      </c>
      <c r="Z137" s="18" t="s">
        <v>892</v>
      </c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ht="74.25" customHeight="1" x14ac:dyDescent="0.25">
      <c r="A138" s="23" t="str">
        <f>HYPERLINK("http://www.medschool.vcu.edu/admissions/md/prerequisites.html","Virginia Commonwealth University School of Medicine")</f>
        <v>Virginia Commonwealth University School of Medicine</v>
      </c>
      <c r="B138" s="3" t="s">
        <v>571</v>
      </c>
      <c r="C138" s="3" t="s">
        <v>21</v>
      </c>
      <c r="D138" s="3" t="s">
        <v>22</v>
      </c>
      <c r="E138" s="3" t="s">
        <v>244</v>
      </c>
      <c r="F138" s="5" t="s">
        <v>579</v>
      </c>
      <c r="G138" s="5" t="s">
        <v>580</v>
      </c>
      <c r="H138" s="5" t="s">
        <v>581</v>
      </c>
      <c r="I138" s="21" t="s">
        <v>883</v>
      </c>
      <c r="J138" s="21" t="s">
        <v>883</v>
      </c>
      <c r="K138" s="21" t="s">
        <v>883</v>
      </c>
      <c r="L138" s="15" t="s">
        <v>23</v>
      </c>
      <c r="M138" s="19" t="s">
        <v>65</v>
      </c>
      <c r="N138" s="21" t="s">
        <v>883</v>
      </c>
      <c r="O138" s="19" t="s">
        <v>894</v>
      </c>
      <c r="P138" s="15" t="s">
        <v>23</v>
      </c>
      <c r="Q138" s="15" t="s">
        <v>23</v>
      </c>
      <c r="R138" s="19" t="s">
        <v>774</v>
      </c>
      <c r="S138" s="15" t="s">
        <v>28</v>
      </c>
      <c r="T138" s="3" t="s">
        <v>107</v>
      </c>
      <c r="U138" s="3" t="s">
        <v>44</v>
      </c>
      <c r="V138" s="6">
        <v>41275</v>
      </c>
      <c r="W138" s="7">
        <v>80</v>
      </c>
      <c r="X138" s="3" t="s">
        <v>69</v>
      </c>
      <c r="Y138" s="8" t="str">
        <f>HYPERLINK("http://www.medschool.vcu.edu/admissions/md/prerequisites.html","Click Here For Prerequisites")</f>
        <v>Click Here For Prerequisites</v>
      </c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ht="77.25" customHeight="1" x14ac:dyDescent="0.25">
      <c r="A139" s="23" t="str">
        <f>HYPERLINK("http://www.vtc.vt.edu/education/admissions/academic_requirements.html","Virginia Tech Carilion School of Medicine")</f>
        <v>Virginia Tech Carilion School of Medicine</v>
      </c>
      <c r="B139" s="3" t="s">
        <v>571</v>
      </c>
      <c r="C139" s="3" t="s">
        <v>57</v>
      </c>
      <c r="D139" s="3" t="s">
        <v>22</v>
      </c>
      <c r="E139" s="3" t="s">
        <v>23</v>
      </c>
      <c r="F139" s="5" t="s">
        <v>582</v>
      </c>
      <c r="G139" s="5" t="s">
        <v>583</v>
      </c>
      <c r="H139" s="5" t="s">
        <v>584</v>
      </c>
      <c r="I139" s="21" t="s">
        <v>883</v>
      </c>
      <c r="J139" s="21" t="s">
        <v>883</v>
      </c>
      <c r="K139" s="21" t="s">
        <v>883</v>
      </c>
      <c r="L139" s="15" t="s">
        <v>23</v>
      </c>
      <c r="M139" s="15" t="s">
        <v>23</v>
      </c>
      <c r="N139" s="21" t="s">
        <v>883</v>
      </c>
      <c r="O139" s="19" t="s">
        <v>670</v>
      </c>
      <c r="P139" s="19" t="s">
        <v>890</v>
      </c>
      <c r="Q139" s="19" t="s">
        <v>23</v>
      </c>
      <c r="R139" s="19" t="s">
        <v>891</v>
      </c>
      <c r="S139" s="15" t="s">
        <v>28</v>
      </c>
      <c r="T139" s="3" t="s">
        <v>585</v>
      </c>
      <c r="U139" s="3" t="s">
        <v>30</v>
      </c>
      <c r="V139" s="6">
        <v>41365</v>
      </c>
      <c r="W139" s="7">
        <v>50</v>
      </c>
      <c r="X139" s="3" t="s">
        <v>31</v>
      </c>
      <c r="Y139" s="8" t="str">
        <f>HYPERLINK("http://www.vtc.vt.edu/education/admissions/academic_requirements.html","Click Here For Prerequisites")</f>
        <v>Click Here For Prerequisites</v>
      </c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ht="90.75" customHeight="1" x14ac:dyDescent="0.25">
      <c r="A140" s="4" t="str">
        <f>HYPERLINK("http://www.uvm.edu/medicine/admissions/?Page=requiredcoursework.html&amp;SM=applysubmenu.html","University of Vermont College of Medicine")</f>
        <v>University of Vermont College of Medicine</v>
      </c>
      <c r="B140" s="3" t="s">
        <v>586</v>
      </c>
      <c r="C140" s="3" t="s">
        <v>21</v>
      </c>
      <c r="D140" s="3" t="s">
        <v>22</v>
      </c>
      <c r="E140" s="3" t="s">
        <v>23</v>
      </c>
      <c r="F140" s="5" t="s">
        <v>587</v>
      </c>
      <c r="G140" s="5" t="s">
        <v>588</v>
      </c>
      <c r="H140" s="5" t="s">
        <v>589</v>
      </c>
      <c r="I140" s="21" t="s">
        <v>883</v>
      </c>
      <c r="J140" s="21" t="s">
        <v>895</v>
      </c>
      <c r="K140" s="21" t="s">
        <v>883</v>
      </c>
      <c r="L140" s="15" t="s">
        <v>23</v>
      </c>
      <c r="M140" s="15" t="s">
        <v>23</v>
      </c>
      <c r="N140" s="21" t="s">
        <v>883</v>
      </c>
      <c r="O140" s="15" t="s">
        <v>23</v>
      </c>
      <c r="P140" s="15" t="s">
        <v>23</v>
      </c>
      <c r="Q140" s="15" t="s">
        <v>23</v>
      </c>
      <c r="R140" s="19" t="s">
        <v>23</v>
      </c>
      <c r="S140" s="15" t="s">
        <v>28</v>
      </c>
      <c r="T140" s="3" t="s">
        <v>50</v>
      </c>
      <c r="U140" s="3" t="s">
        <v>130</v>
      </c>
      <c r="V140" s="6">
        <v>40909</v>
      </c>
      <c r="W140" s="7">
        <v>125</v>
      </c>
      <c r="X140" s="3" t="s">
        <v>69</v>
      </c>
      <c r="Y140" s="8" t="str">
        <f>HYPERLINK("http://www.uvm.edu/medicine/admissions/?Page=requiredcoursework.html&amp;SM=applysubmenu.html","Click Here For Prerequisites")</f>
        <v>Click Here For Prerequisites</v>
      </c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ht="77.25" customHeight="1" x14ac:dyDescent="0.25">
      <c r="A141" s="4" t="str">
        <f>HYPERLINK("http://www.uwmedicine.org/Education/MD-Program/Admissions/Applicants/Pages/Pre-med-Course-Requirements.aspx","University of Washington School of Medicine")</f>
        <v>University of Washington School of Medicine</v>
      </c>
      <c r="B141" s="3" t="s">
        <v>590</v>
      </c>
      <c r="C141" s="3" t="s">
        <v>21</v>
      </c>
      <c r="D141" s="3" t="s">
        <v>22</v>
      </c>
      <c r="E141" s="3" t="s">
        <v>23</v>
      </c>
      <c r="F141" s="5" t="s">
        <v>591</v>
      </c>
      <c r="G141" s="5" t="s">
        <v>592</v>
      </c>
      <c r="H141" s="5" t="s">
        <v>593</v>
      </c>
      <c r="I141" s="21" t="s">
        <v>883</v>
      </c>
      <c r="J141" s="21" t="s">
        <v>883</v>
      </c>
      <c r="K141" s="21" t="s">
        <v>883</v>
      </c>
      <c r="L141" s="19" t="s">
        <v>35</v>
      </c>
      <c r="M141" s="19" t="s">
        <v>897</v>
      </c>
      <c r="N141" s="21" t="s">
        <v>896</v>
      </c>
      <c r="O141" s="15" t="s">
        <v>23</v>
      </c>
      <c r="P141" s="15" t="s">
        <v>23</v>
      </c>
      <c r="Q141" s="15" t="s">
        <v>23</v>
      </c>
      <c r="R141" s="19" t="s">
        <v>23</v>
      </c>
      <c r="S141" s="19" t="s">
        <v>898</v>
      </c>
      <c r="T141" s="3" t="s">
        <v>359</v>
      </c>
      <c r="U141" s="3" t="s">
        <v>44</v>
      </c>
      <c r="V141" s="6">
        <v>41275</v>
      </c>
      <c r="W141" s="7">
        <v>35</v>
      </c>
      <c r="X141" s="3" t="s">
        <v>45</v>
      </c>
      <c r="Y141" s="8" t="str">
        <f>HYPERLINK("http://www.uwmedicine.org/Education/MD-Program/Admissions/Applicants/Pages/Pre-med-Course-Requirements.aspx","Click Here For Prerequisites")</f>
        <v>Click Here For Prerequisites</v>
      </c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ht="61.5" customHeight="1" x14ac:dyDescent="0.25">
      <c r="A142" s="23" t="str">
        <f>HYPERLINK("http://www.mcw.edu/medicalschool/prerequisites.htm","Medical College of Wisconsin")</f>
        <v>Medical College of Wisconsin</v>
      </c>
      <c r="B142" s="3" t="s">
        <v>594</v>
      </c>
      <c r="C142" s="3" t="s">
        <v>57</v>
      </c>
      <c r="D142" s="3" t="s">
        <v>22</v>
      </c>
      <c r="E142" s="3" t="s">
        <v>22</v>
      </c>
      <c r="F142" s="5" t="s">
        <v>595</v>
      </c>
      <c r="G142" s="5" t="s">
        <v>596</v>
      </c>
      <c r="H142" s="5" t="s">
        <v>597</v>
      </c>
      <c r="I142" s="21" t="s">
        <v>883</v>
      </c>
      <c r="J142" s="21" t="s">
        <v>883</v>
      </c>
      <c r="K142" s="21" t="s">
        <v>23</v>
      </c>
      <c r="L142" s="19" t="s">
        <v>22</v>
      </c>
      <c r="M142" s="19" t="s">
        <v>899</v>
      </c>
      <c r="N142" s="21" t="s">
        <v>883</v>
      </c>
      <c r="O142" s="19" t="s">
        <v>65</v>
      </c>
      <c r="P142" s="15" t="s">
        <v>23</v>
      </c>
      <c r="Q142" s="19" t="s">
        <v>35</v>
      </c>
      <c r="R142" s="19" t="s">
        <v>888</v>
      </c>
      <c r="S142" s="19" t="s">
        <v>900</v>
      </c>
      <c r="T142" s="3" t="s">
        <v>598</v>
      </c>
      <c r="U142" s="3" t="s">
        <v>30</v>
      </c>
      <c r="V142" s="6">
        <v>41275</v>
      </c>
      <c r="W142" s="7">
        <v>100</v>
      </c>
      <c r="X142" s="3" t="s">
        <v>69</v>
      </c>
      <c r="Y142" s="8" t="str">
        <f>HYPERLINK("http://www.mcw.edu/medicalschool/prerequisites.htm","Click Here For Prerequisites")</f>
        <v>Click Here For Prerequisites</v>
      </c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ht="79.5" customHeight="1" x14ac:dyDescent="0.25">
      <c r="A143" s="4" t="str">
        <f>HYPERLINK("http://www.med.wisc.edu/education/md/admissions/premedical-requirements/110","University of Wisconsin School of Medicine and Public Health")</f>
        <v>University of Wisconsin School of Medicine and Public Health</v>
      </c>
      <c r="B143" s="3" t="s">
        <v>594</v>
      </c>
      <c r="C143" s="3" t="s">
        <v>21</v>
      </c>
      <c r="D143" s="3" t="s">
        <v>22</v>
      </c>
      <c r="E143" s="3" t="s">
        <v>23</v>
      </c>
      <c r="F143" s="5" t="s">
        <v>599</v>
      </c>
      <c r="G143" s="5" t="s">
        <v>600</v>
      </c>
      <c r="H143" s="5" t="s">
        <v>601</v>
      </c>
      <c r="I143" s="21" t="s">
        <v>883</v>
      </c>
      <c r="J143" s="21" t="s">
        <v>55</v>
      </c>
      <c r="K143" s="21" t="s">
        <v>901</v>
      </c>
      <c r="L143" s="15" t="s">
        <v>22</v>
      </c>
      <c r="M143" s="19" t="s">
        <v>23</v>
      </c>
      <c r="N143" s="21" t="s">
        <v>883</v>
      </c>
      <c r="O143" s="19" t="s">
        <v>65</v>
      </c>
      <c r="P143" s="15" t="s">
        <v>23</v>
      </c>
      <c r="Q143" s="19" t="s">
        <v>22</v>
      </c>
      <c r="R143" s="19" t="s">
        <v>902</v>
      </c>
      <c r="S143" s="15" t="s">
        <v>28</v>
      </c>
      <c r="T143" s="3" t="s">
        <v>602</v>
      </c>
      <c r="U143" s="3" t="s">
        <v>30</v>
      </c>
      <c r="V143" s="6">
        <v>40909</v>
      </c>
      <c r="W143" s="7">
        <v>56</v>
      </c>
      <c r="X143" s="3" t="s">
        <v>69</v>
      </c>
      <c r="Y143" s="8" t="str">
        <f>HYPERLINK("http://www.med.wisc.edu/education/md/admissions/premedical-requirements/110","Click Here For Prerequisites")</f>
        <v>Click Here For Prerequisites</v>
      </c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ht="52.5" customHeight="1" x14ac:dyDescent="0.25">
      <c r="A144" s="23" t="str">
        <f>HYPERLINK("http://musom.marshall.edu/admissions/policy.asp","Marshall University- Joan C.Edwards School of Medicine")</f>
        <v>Marshall University- Joan C.Edwards School of Medicine</v>
      </c>
      <c r="B144" s="3" t="s">
        <v>603</v>
      </c>
      <c r="C144" s="3" t="s">
        <v>21</v>
      </c>
      <c r="D144" s="3" t="s">
        <v>30</v>
      </c>
      <c r="E144" s="3" t="s">
        <v>23</v>
      </c>
      <c r="F144" s="5" t="s">
        <v>604</v>
      </c>
      <c r="G144" s="5" t="s">
        <v>605</v>
      </c>
      <c r="H144" s="5" t="s">
        <v>606</v>
      </c>
      <c r="I144" s="21" t="s">
        <v>883</v>
      </c>
      <c r="J144" s="21" t="s">
        <v>883</v>
      </c>
      <c r="K144" s="21" t="s">
        <v>883</v>
      </c>
      <c r="L144" s="15" t="s">
        <v>22</v>
      </c>
      <c r="M144" s="19" t="s">
        <v>904</v>
      </c>
      <c r="N144" s="21" t="s">
        <v>883</v>
      </c>
      <c r="O144" s="15" t="s">
        <v>23</v>
      </c>
      <c r="P144" s="15" t="s">
        <v>23</v>
      </c>
      <c r="Q144" s="19" t="s">
        <v>35</v>
      </c>
      <c r="R144" s="19" t="s">
        <v>692</v>
      </c>
      <c r="S144" s="19" t="s">
        <v>903</v>
      </c>
      <c r="T144" s="3" t="s">
        <v>67</v>
      </c>
      <c r="U144" s="3" t="s">
        <v>30</v>
      </c>
      <c r="V144" s="6">
        <v>41275</v>
      </c>
      <c r="W144" s="7">
        <v>75</v>
      </c>
      <c r="X144" s="3" t="s">
        <v>45</v>
      </c>
      <c r="Y144" s="8" t="str">
        <f>HYPERLINK("http://jcesom.marshall.edu/admissions/admissions-policy/","Click Here For Prerequisites")</f>
        <v>Click Here For Prerequisites</v>
      </c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ht="107.25" customHeight="1" x14ac:dyDescent="0.25">
      <c r="A145" s="23" t="str">
        <f>HYPERLINK("http://medicine.hsc.wvu.edu/Students/About-SoM/Admission-Process/Admission-Requirements","West Virginia University School of Medicine")</f>
        <v>West Virginia University School of Medicine</v>
      </c>
      <c r="B145" s="3" t="s">
        <v>603</v>
      </c>
      <c r="C145" s="3" t="s">
        <v>21</v>
      </c>
      <c r="D145" s="3" t="s">
        <v>22</v>
      </c>
      <c r="E145" s="3" t="s">
        <v>244</v>
      </c>
      <c r="F145" s="5" t="s">
        <v>607</v>
      </c>
      <c r="G145" s="5" t="s">
        <v>608</v>
      </c>
      <c r="H145" s="5" t="s">
        <v>609</v>
      </c>
      <c r="I145" s="21" t="s">
        <v>883</v>
      </c>
      <c r="J145" s="21" t="s">
        <v>895</v>
      </c>
      <c r="K145" s="21" t="s">
        <v>883</v>
      </c>
      <c r="L145" s="19" t="s">
        <v>35</v>
      </c>
      <c r="M145" s="19" t="s">
        <v>907</v>
      </c>
      <c r="N145" s="21" t="s">
        <v>883</v>
      </c>
      <c r="O145" s="15" t="s">
        <v>23</v>
      </c>
      <c r="P145" s="15" t="s">
        <v>23</v>
      </c>
      <c r="Q145" s="15" t="s">
        <v>23</v>
      </c>
      <c r="R145" s="19" t="s">
        <v>905</v>
      </c>
      <c r="S145" s="19" t="s">
        <v>906</v>
      </c>
      <c r="T145" s="3" t="s">
        <v>610</v>
      </c>
      <c r="U145" s="3" t="s">
        <v>44</v>
      </c>
      <c r="V145" s="6">
        <v>41640</v>
      </c>
      <c r="W145" s="7">
        <v>100</v>
      </c>
      <c r="X145" s="3" t="s">
        <v>31</v>
      </c>
      <c r="Y145" s="8" t="str">
        <f>HYPERLINK("http://medicine.hsc.wvu.edu/Students/About-SoM/Admission-Process/Admission-Requirements","Click Here For Prerequisites")</f>
        <v>Click Here For Prerequisites</v>
      </c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ht="15.75" customHeight="1" x14ac:dyDescent="0.25">
      <c r="A146" s="10"/>
      <c r="B146" s="13"/>
      <c r="C146" s="13"/>
      <c r="D146" s="13"/>
      <c r="E146" s="13"/>
      <c r="F146" s="13"/>
      <c r="G146" s="13"/>
      <c r="H146" s="13"/>
      <c r="L146" s="19" t="s">
        <v>739</v>
      </c>
      <c r="T146" s="13"/>
      <c r="U146" s="13"/>
      <c r="V146" s="13"/>
      <c r="W146" s="13"/>
      <c r="X146" s="13"/>
      <c r="Y146" s="10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ht="79.5" customHeight="1" x14ac:dyDescent="0.25">
      <c r="A147" s="14" t="s">
        <v>611</v>
      </c>
      <c r="B147" s="13"/>
      <c r="C147" s="13"/>
      <c r="D147" s="13"/>
      <c r="E147" s="13"/>
      <c r="F147" s="13"/>
      <c r="G147" s="13"/>
      <c r="H147" s="13"/>
      <c r="T147" s="13"/>
      <c r="U147" s="13"/>
      <c r="V147" s="13"/>
      <c r="W147" s="13"/>
      <c r="X147" s="13"/>
      <c r="Y147" s="10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ht="15.75" customHeight="1" x14ac:dyDescent="0.25">
      <c r="A148" s="15" t="s">
        <v>612</v>
      </c>
      <c r="B148" s="13"/>
      <c r="C148" s="13"/>
      <c r="D148" s="13"/>
      <c r="E148" s="13"/>
      <c r="F148" s="13"/>
      <c r="G148" s="13"/>
      <c r="H148" s="13"/>
      <c r="T148" s="13"/>
      <c r="U148" s="13"/>
      <c r="V148" s="13"/>
      <c r="W148" s="13"/>
      <c r="X148" s="13"/>
      <c r="Y148" s="10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ht="15.75" customHeight="1" x14ac:dyDescent="0.25">
      <c r="A149" s="15" t="s">
        <v>613</v>
      </c>
      <c r="B149" s="13"/>
      <c r="C149" s="13"/>
      <c r="D149" s="13"/>
      <c r="E149" s="13"/>
      <c r="F149" s="13"/>
      <c r="G149" s="13"/>
      <c r="H149" s="13"/>
      <c r="T149" s="13"/>
      <c r="U149" s="13"/>
      <c r="V149" s="13"/>
      <c r="W149" s="13"/>
      <c r="X149" s="13"/>
      <c r="Y149" s="10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ht="15.75" customHeight="1" x14ac:dyDescent="0.25">
      <c r="A150" s="10"/>
      <c r="B150" s="13"/>
      <c r="C150" s="13"/>
      <c r="D150" s="13"/>
      <c r="E150" s="13"/>
      <c r="F150" s="13"/>
      <c r="G150" s="13"/>
      <c r="H150" s="13"/>
      <c r="T150" s="13"/>
      <c r="U150" s="13"/>
      <c r="V150" s="13"/>
      <c r="W150" s="13"/>
      <c r="X150" s="13"/>
      <c r="Y150" s="10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ht="15.75" customHeight="1" x14ac:dyDescent="0.25">
      <c r="A151" s="10"/>
      <c r="B151" s="13"/>
      <c r="C151" s="13"/>
      <c r="D151" s="13"/>
      <c r="E151" s="13"/>
      <c r="F151" s="13"/>
      <c r="G151" s="13"/>
      <c r="H151" s="13"/>
      <c r="T151" s="13"/>
      <c r="U151" s="13"/>
      <c r="V151" s="13"/>
      <c r="W151" s="13"/>
      <c r="X151" s="13"/>
      <c r="Y151" s="10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ht="15.75" customHeight="1" x14ac:dyDescent="0.25">
      <c r="A152" s="10"/>
      <c r="B152" s="13"/>
      <c r="C152" s="13"/>
      <c r="D152" s="13"/>
      <c r="E152" s="13"/>
      <c r="F152" s="13"/>
      <c r="G152" s="13"/>
      <c r="H152" s="13"/>
      <c r="T152" s="13"/>
      <c r="U152" s="13"/>
      <c r="V152" s="13"/>
      <c r="W152" s="13"/>
      <c r="X152" s="13"/>
      <c r="Y152" s="10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ht="15.75" customHeight="1" x14ac:dyDescent="0.25">
      <c r="A153" s="10"/>
      <c r="B153" s="13"/>
      <c r="C153" s="13"/>
      <c r="D153" s="13"/>
      <c r="E153" s="13"/>
      <c r="F153" s="13"/>
      <c r="G153" s="13"/>
      <c r="H153" s="13"/>
      <c r="T153" s="13"/>
      <c r="U153" s="13"/>
      <c r="V153" s="13"/>
      <c r="W153" s="13"/>
      <c r="X153" s="13"/>
      <c r="Y153" s="10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ht="15.75" customHeight="1" x14ac:dyDescent="0.25">
      <c r="A154" s="10"/>
      <c r="B154" s="13"/>
      <c r="C154" s="13"/>
      <c r="D154" s="13"/>
      <c r="E154" s="13"/>
      <c r="F154" s="13"/>
      <c r="G154" s="13"/>
      <c r="H154" s="13"/>
      <c r="T154" s="13"/>
      <c r="U154" s="13"/>
      <c r="V154" s="13"/>
      <c r="W154" s="13"/>
      <c r="X154" s="13"/>
      <c r="Y154" s="10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ht="15.75" customHeight="1" x14ac:dyDescent="0.25">
      <c r="A155" s="10"/>
      <c r="B155" s="13"/>
      <c r="C155" s="13"/>
      <c r="D155" s="13"/>
      <c r="E155" s="13"/>
      <c r="F155" s="13"/>
      <c r="G155" s="13"/>
      <c r="H155" s="13"/>
      <c r="T155" s="13"/>
      <c r="U155" s="13"/>
      <c r="V155" s="13"/>
      <c r="W155" s="13"/>
      <c r="X155" s="13"/>
      <c r="Y155" s="10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ht="15.75" customHeight="1" x14ac:dyDescent="0.25">
      <c r="A156" s="10"/>
      <c r="B156" s="13"/>
      <c r="C156" s="13"/>
      <c r="D156" s="13"/>
      <c r="E156" s="13"/>
      <c r="F156" s="13"/>
      <c r="G156" s="13"/>
      <c r="H156" s="13"/>
      <c r="T156" s="13"/>
      <c r="U156" s="13"/>
      <c r="V156" s="13"/>
      <c r="W156" s="13"/>
      <c r="X156" s="13"/>
      <c r="Y156" s="10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ht="15.75" customHeight="1" x14ac:dyDescent="0.25">
      <c r="A157" s="10"/>
      <c r="B157" s="13"/>
      <c r="C157" s="13"/>
      <c r="D157" s="13"/>
      <c r="E157" s="13"/>
      <c r="F157" s="13"/>
      <c r="G157" s="13"/>
      <c r="H157" s="13"/>
      <c r="T157" s="13"/>
      <c r="U157" s="13"/>
      <c r="V157" s="13"/>
      <c r="W157" s="13"/>
      <c r="X157" s="13"/>
      <c r="Y157" s="10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ht="15.75" customHeight="1" x14ac:dyDescent="0.25">
      <c r="A158" s="10"/>
      <c r="B158" s="13"/>
      <c r="C158" s="13"/>
      <c r="D158" s="13"/>
      <c r="E158" s="13"/>
      <c r="F158" s="13"/>
      <c r="G158" s="13"/>
      <c r="H158" s="13"/>
      <c r="T158" s="13"/>
      <c r="U158" s="13"/>
      <c r="V158" s="13"/>
      <c r="W158" s="13"/>
      <c r="X158" s="13"/>
      <c r="Y158" s="10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ht="15.75" customHeight="1" x14ac:dyDescent="0.25">
      <c r="A159" s="10"/>
      <c r="B159" s="13"/>
      <c r="C159" s="13"/>
      <c r="D159" s="13"/>
      <c r="E159" s="13"/>
      <c r="F159" s="13"/>
      <c r="G159" s="13"/>
      <c r="H159" s="13"/>
      <c r="T159" s="13"/>
      <c r="U159" s="13"/>
      <c r="V159" s="13"/>
      <c r="W159" s="13"/>
      <c r="X159" s="13"/>
      <c r="Y159" s="10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ht="15.75" customHeight="1" x14ac:dyDescent="0.25">
      <c r="A160" s="10"/>
      <c r="B160" s="13"/>
      <c r="C160" s="13"/>
      <c r="D160" s="13"/>
      <c r="E160" s="13"/>
      <c r="F160" s="13"/>
      <c r="G160" s="13"/>
      <c r="H160" s="13"/>
      <c r="T160" s="13"/>
      <c r="U160" s="13"/>
      <c r="V160" s="13"/>
      <c r="W160" s="13"/>
      <c r="X160" s="13"/>
      <c r="Y160" s="10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:35" ht="15.75" customHeight="1" x14ac:dyDescent="0.25">
      <c r="A161" s="10"/>
      <c r="B161" s="13"/>
      <c r="C161" s="13"/>
      <c r="D161" s="13"/>
      <c r="E161" s="13"/>
      <c r="F161" s="13"/>
      <c r="G161" s="13"/>
      <c r="H161" s="13"/>
      <c r="T161" s="13"/>
      <c r="U161" s="13"/>
      <c r="V161" s="13"/>
      <c r="W161" s="13"/>
      <c r="X161" s="13"/>
      <c r="Y161" s="10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:35" ht="15.75" customHeight="1" x14ac:dyDescent="0.25">
      <c r="A162" s="10"/>
      <c r="B162" s="13"/>
      <c r="C162" s="13"/>
      <c r="D162" s="13"/>
      <c r="E162" s="13"/>
      <c r="F162" s="13"/>
      <c r="G162" s="13"/>
      <c r="H162" s="13"/>
      <c r="T162" s="13"/>
      <c r="U162" s="13"/>
      <c r="V162" s="13"/>
      <c r="W162" s="13"/>
      <c r="X162" s="13"/>
      <c r="Y162" s="10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:35" ht="15.75" customHeight="1" x14ac:dyDescent="0.25">
      <c r="A163" s="10"/>
      <c r="B163" s="13"/>
      <c r="C163" s="13"/>
      <c r="D163" s="13"/>
      <c r="E163" s="13"/>
      <c r="F163" s="13"/>
      <c r="G163" s="13"/>
      <c r="H163" s="13"/>
      <c r="T163" s="13"/>
      <c r="U163" s="13"/>
      <c r="V163" s="13"/>
      <c r="W163" s="13"/>
      <c r="X163" s="13"/>
      <c r="Y163" s="10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:35" ht="15.75" customHeight="1" x14ac:dyDescent="0.25">
      <c r="A164" s="10"/>
      <c r="B164" s="13"/>
      <c r="C164" s="13"/>
      <c r="D164" s="13"/>
      <c r="E164" s="13"/>
      <c r="F164" s="13"/>
      <c r="G164" s="13"/>
      <c r="H164" s="13"/>
      <c r="T164" s="13"/>
      <c r="U164" s="13"/>
      <c r="V164" s="13"/>
      <c r="W164" s="13"/>
      <c r="X164" s="13"/>
      <c r="Y164" s="10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:35" ht="15.75" customHeight="1" x14ac:dyDescent="0.25">
      <c r="A165" s="10"/>
      <c r="B165" s="13"/>
      <c r="C165" s="13"/>
      <c r="D165" s="13"/>
      <c r="E165" s="13"/>
      <c r="F165" s="13"/>
      <c r="G165" s="13"/>
      <c r="H165" s="13"/>
      <c r="T165" s="13"/>
      <c r="U165" s="13"/>
      <c r="V165" s="13"/>
      <c r="W165" s="13"/>
      <c r="X165" s="13"/>
      <c r="Y165" s="10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:35" ht="15.75" customHeight="1" x14ac:dyDescent="0.25">
      <c r="A166" s="10"/>
      <c r="B166" s="13"/>
      <c r="C166" s="13"/>
      <c r="D166" s="13"/>
      <c r="E166" s="13"/>
      <c r="F166" s="13"/>
      <c r="G166" s="13"/>
      <c r="H166" s="13"/>
      <c r="T166" s="13"/>
      <c r="U166" s="13"/>
      <c r="V166" s="13"/>
      <c r="W166" s="13"/>
      <c r="X166" s="13"/>
      <c r="Y166" s="10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:35" ht="15.75" customHeight="1" x14ac:dyDescent="0.25">
      <c r="A167" s="10"/>
      <c r="B167" s="13"/>
      <c r="C167" s="13"/>
      <c r="D167" s="13"/>
      <c r="E167" s="13"/>
      <c r="F167" s="13"/>
      <c r="G167" s="13"/>
      <c r="H167" s="13"/>
      <c r="T167" s="13"/>
      <c r="U167" s="13"/>
      <c r="V167" s="13"/>
      <c r="W167" s="13"/>
      <c r="X167" s="13"/>
      <c r="Y167" s="10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:35" ht="15.75" customHeight="1" x14ac:dyDescent="0.25">
      <c r="A168" s="10"/>
      <c r="B168" s="13"/>
      <c r="C168" s="13"/>
      <c r="D168" s="13"/>
      <c r="E168" s="13"/>
      <c r="F168" s="13"/>
      <c r="G168" s="13"/>
      <c r="H168" s="13"/>
      <c r="T168" s="13"/>
      <c r="U168" s="13"/>
      <c r="V168" s="13"/>
      <c r="W168" s="13"/>
      <c r="X168" s="13"/>
      <c r="Y168" s="10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:35" ht="15.75" customHeight="1" x14ac:dyDescent="0.25">
      <c r="A169" s="10"/>
      <c r="B169" s="13"/>
      <c r="C169" s="13"/>
      <c r="D169" s="13"/>
      <c r="E169" s="13"/>
      <c r="F169" s="13"/>
      <c r="G169" s="13"/>
      <c r="H169" s="13"/>
      <c r="T169" s="13"/>
      <c r="U169" s="13"/>
      <c r="V169" s="13"/>
      <c r="W169" s="13"/>
      <c r="X169" s="13"/>
      <c r="Y169" s="10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:35" ht="15.75" customHeight="1" x14ac:dyDescent="0.25">
      <c r="A170" s="10"/>
      <c r="B170" s="13"/>
      <c r="C170" s="13"/>
      <c r="D170" s="13"/>
      <c r="E170" s="13"/>
      <c r="F170" s="13"/>
      <c r="G170" s="13"/>
      <c r="H170" s="13"/>
      <c r="T170" s="13"/>
      <c r="U170" s="13"/>
      <c r="V170" s="13"/>
      <c r="W170" s="13"/>
      <c r="X170" s="13"/>
      <c r="Y170" s="10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:35" ht="15.75" customHeight="1" x14ac:dyDescent="0.25">
      <c r="A171" s="10"/>
      <c r="B171" s="13"/>
      <c r="C171" s="13"/>
      <c r="D171" s="13"/>
      <c r="E171" s="13"/>
      <c r="F171" s="13"/>
      <c r="G171" s="13"/>
      <c r="H171" s="13"/>
      <c r="T171" s="13"/>
      <c r="U171" s="13"/>
      <c r="V171" s="13"/>
      <c r="W171" s="13"/>
      <c r="X171" s="13"/>
      <c r="Y171" s="10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:35" ht="15.75" customHeight="1" x14ac:dyDescent="0.25">
      <c r="A172" s="10"/>
      <c r="B172" s="13"/>
      <c r="C172" s="13"/>
      <c r="D172" s="13"/>
      <c r="E172" s="13"/>
      <c r="F172" s="13"/>
      <c r="G172" s="13"/>
      <c r="H172" s="13"/>
      <c r="T172" s="13"/>
      <c r="U172" s="13"/>
      <c r="V172" s="13"/>
      <c r="W172" s="13"/>
      <c r="X172" s="13"/>
      <c r="Y172" s="10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:35" ht="15.75" customHeight="1" x14ac:dyDescent="0.25">
      <c r="A173" s="10"/>
      <c r="B173" s="13"/>
      <c r="C173" s="13"/>
      <c r="D173" s="13"/>
      <c r="E173" s="13"/>
      <c r="F173" s="13"/>
      <c r="G173" s="13"/>
      <c r="H173" s="13"/>
      <c r="T173" s="13"/>
      <c r="U173" s="13"/>
      <c r="V173" s="13"/>
      <c r="W173" s="13"/>
      <c r="X173" s="13"/>
      <c r="Y173" s="10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:35" ht="15.75" customHeight="1" x14ac:dyDescent="0.25">
      <c r="A174" s="10"/>
      <c r="B174" s="13"/>
      <c r="C174" s="13"/>
      <c r="D174" s="13"/>
      <c r="E174" s="13"/>
      <c r="F174" s="13"/>
      <c r="G174" s="13"/>
      <c r="H174" s="13"/>
      <c r="T174" s="13"/>
      <c r="U174" s="13"/>
      <c r="V174" s="13"/>
      <c r="W174" s="13"/>
      <c r="X174" s="13"/>
      <c r="Y174" s="10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:35" ht="15.75" customHeight="1" x14ac:dyDescent="0.25">
      <c r="A175" s="10"/>
      <c r="B175" s="13"/>
      <c r="C175" s="13"/>
      <c r="D175" s="13"/>
      <c r="E175" s="13"/>
      <c r="F175" s="13"/>
      <c r="G175" s="13"/>
      <c r="H175" s="13"/>
      <c r="T175" s="13"/>
      <c r="U175" s="13"/>
      <c r="V175" s="13"/>
      <c r="W175" s="13"/>
      <c r="X175" s="13"/>
      <c r="Y175" s="10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:35" ht="15.75" customHeight="1" x14ac:dyDescent="0.25">
      <c r="A176" s="10"/>
      <c r="B176" s="13"/>
      <c r="C176" s="13"/>
      <c r="D176" s="13"/>
      <c r="E176" s="13"/>
      <c r="F176" s="13"/>
      <c r="G176" s="13"/>
      <c r="H176" s="13"/>
      <c r="T176" s="13"/>
      <c r="U176" s="13"/>
      <c r="V176" s="13"/>
      <c r="W176" s="13"/>
      <c r="X176" s="13"/>
      <c r="Y176" s="10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:35" ht="15.75" customHeight="1" x14ac:dyDescent="0.25">
      <c r="A177" s="10"/>
      <c r="B177" s="13"/>
      <c r="C177" s="13"/>
      <c r="D177" s="13"/>
      <c r="E177" s="13"/>
      <c r="F177" s="13"/>
      <c r="G177" s="13"/>
      <c r="H177" s="13"/>
      <c r="T177" s="13"/>
      <c r="U177" s="13"/>
      <c r="V177" s="13"/>
      <c r="W177" s="13"/>
      <c r="X177" s="13"/>
      <c r="Y177" s="10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:35" ht="15.75" customHeight="1" x14ac:dyDescent="0.25">
      <c r="A178" s="10"/>
      <c r="B178" s="13"/>
      <c r="C178" s="13"/>
      <c r="D178" s="13"/>
      <c r="E178" s="13"/>
      <c r="F178" s="13"/>
      <c r="G178" s="13"/>
      <c r="H178" s="13"/>
      <c r="T178" s="13"/>
      <c r="U178" s="13"/>
      <c r="V178" s="13"/>
      <c r="W178" s="13"/>
      <c r="X178" s="13"/>
      <c r="Y178" s="10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:35" ht="15.75" customHeight="1" x14ac:dyDescent="0.25">
      <c r="A179" s="10"/>
      <c r="B179" s="13"/>
      <c r="C179" s="13"/>
      <c r="D179" s="13"/>
      <c r="E179" s="13"/>
      <c r="F179" s="13"/>
      <c r="G179" s="13"/>
      <c r="H179" s="13"/>
      <c r="T179" s="13"/>
      <c r="U179" s="13"/>
      <c r="V179" s="13"/>
      <c r="W179" s="13"/>
      <c r="X179" s="13"/>
      <c r="Y179" s="10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:35" ht="15.75" customHeight="1" x14ac:dyDescent="0.25">
      <c r="A180" s="10"/>
      <c r="B180" s="13"/>
      <c r="C180" s="13"/>
      <c r="D180" s="13"/>
      <c r="E180" s="13"/>
      <c r="F180" s="13"/>
      <c r="G180" s="13"/>
      <c r="H180" s="13"/>
      <c r="T180" s="13"/>
      <c r="U180" s="13"/>
      <c r="V180" s="13"/>
      <c r="W180" s="13"/>
      <c r="X180" s="13"/>
      <c r="Y180" s="10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:35" ht="15.75" customHeight="1" x14ac:dyDescent="0.25">
      <c r="A181" s="10"/>
      <c r="B181" s="13"/>
      <c r="C181" s="13"/>
      <c r="D181" s="13"/>
      <c r="E181" s="13"/>
      <c r="F181" s="13"/>
      <c r="G181" s="13"/>
      <c r="H181" s="13"/>
      <c r="T181" s="13"/>
      <c r="U181" s="13"/>
      <c r="V181" s="13"/>
      <c r="W181" s="13"/>
      <c r="X181" s="13"/>
      <c r="Y181" s="10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:35" ht="15.75" customHeight="1" x14ac:dyDescent="0.25">
      <c r="A182" s="10"/>
      <c r="B182" s="13"/>
      <c r="C182" s="13"/>
      <c r="D182" s="13"/>
      <c r="E182" s="13"/>
      <c r="F182" s="13"/>
      <c r="G182" s="13"/>
      <c r="H182" s="13"/>
      <c r="T182" s="13"/>
      <c r="U182" s="13"/>
      <c r="V182" s="13"/>
      <c r="W182" s="13"/>
      <c r="X182" s="13"/>
      <c r="Y182" s="10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:35" ht="15.75" customHeight="1" x14ac:dyDescent="0.25">
      <c r="A183" s="10"/>
      <c r="B183" s="13"/>
      <c r="C183" s="13"/>
      <c r="D183" s="13"/>
      <c r="E183" s="13"/>
      <c r="F183" s="13"/>
      <c r="G183" s="13"/>
      <c r="H183" s="13"/>
      <c r="T183" s="13"/>
      <c r="U183" s="13"/>
      <c r="V183" s="13"/>
      <c r="W183" s="13"/>
      <c r="X183" s="13"/>
      <c r="Y183" s="10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:35" ht="15.75" customHeight="1" x14ac:dyDescent="0.25">
      <c r="A184" s="10"/>
      <c r="B184" s="13"/>
      <c r="C184" s="13"/>
      <c r="D184" s="13"/>
      <c r="E184" s="13"/>
      <c r="F184" s="13"/>
      <c r="G184" s="13"/>
      <c r="H184" s="13"/>
      <c r="T184" s="13"/>
      <c r="U184" s="13"/>
      <c r="V184" s="13"/>
      <c r="W184" s="13"/>
      <c r="X184" s="13"/>
      <c r="Y184" s="10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:35" ht="15.75" customHeight="1" x14ac:dyDescent="0.25">
      <c r="A185" s="10"/>
      <c r="B185" s="13"/>
      <c r="C185" s="13"/>
      <c r="D185" s="13"/>
      <c r="E185" s="13"/>
      <c r="F185" s="13"/>
      <c r="G185" s="13"/>
      <c r="H185" s="13"/>
      <c r="T185" s="13"/>
      <c r="U185" s="13"/>
      <c r="V185" s="13"/>
      <c r="W185" s="13"/>
      <c r="X185" s="13"/>
      <c r="Y185" s="10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:35" ht="15.75" customHeight="1" x14ac:dyDescent="0.25">
      <c r="A186" s="10"/>
      <c r="B186" s="13"/>
      <c r="C186" s="13"/>
      <c r="D186" s="13"/>
      <c r="E186" s="13"/>
      <c r="F186" s="13"/>
      <c r="G186" s="13"/>
      <c r="H186" s="13"/>
      <c r="T186" s="13"/>
      <c r="U186" s="13"/>
      <c r="V186" s="13"/>
      <c r="W186" s="13"/>
      <c r="X186" s="13"/>
      <c r="Y186" s="10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:35" ht="15.75" customHeight="1" x14ac:dyDescent="0.25">
      <c r="A187" s="10"/>
      <c r="B187" s="13"/>
      <c r="C187" s="13"/>
      <c r="D187" s="13"/>
      <c r="E187" s="13"/>
      <c r="F187" s="13"/>
      <c r="G187" s="13"/>
      <c r="H187" s="13"/>
      <c r="T187" s="13"/>
      <c r="U187" s="13"/>
      <c r="V187" s="13"/>
      <c r="W187" s="13"/>
      <c r="X187" s="13"/>
      <c r="Y187" s="10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:35" ht="15.75" customHeight="1" x14ac:dyDescent="0.25">
      <c r="A188" s="10"/>
      <c r="B188" s="13"/>
      <c r="C188" s="13"/>
      <c r="D188" s="13"/>
      <c r="E188" s="13"/>
      <c r="F188" s="13"/>
      <c r="G188" s="13"/>
      <c r="H188" s="13"/>
      <c r="T188" s="13"/>
      <c r="U188" s="13"/>
      <c r="V188" s="13"/>
      <c r="W188" s="13"/>
      <c r="X188" s="13"/>
      <c r="Y188" s="10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:35" ht="15.75" customHeight="1" x14ac:dyDescent="0.25">
      <c r="A189" s="10"/>
      <c r="B189" s="13"/>
      <c r="C189" s="13"/>
      <c r="D189" s="13"/>
      <c r="E189" s="13"/>
      <c r="F189" s="13"/>
      <c r="G189" s="13"/>
      <c r="H189" s="13"/>
      <c r="T189" s="13"/>
      <c r="U189" s="13"/>
      <c r="V189" s="13"/>
      <c r="W189" s="13"/>
      <c r="X189" s="13"/>
      <c r="Y189" s="10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:35" ht="15.75" customHeight="1" x14ac:dyDescent="0.25">
      <c r="A190" s="10"/>
      <c r="B190" s="13"/>
      <c r="C190" s="13"/>
      <c r="D190" s="13"/>
      <c r="E190" s="13"/>
      <c r="F190" s="13"/>
      <c r="G190" s="13"/>
      <c r="H190" s="13"/>
      <c r="T190" s="13"/>
      <c r="U190" s="13"/>
      <c r="V190" s="13"/>
      <c r="W190" s="13"/>
      <c r="X190" s="13"/>
      <c r="Y190" s="10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:35" ht="15.75" customHeight="1" x14ac:dyDescent="0.25">
      <c r="A191" s="10"/>
      <c r="B191" s="13"/>
      <c r="C191" s="13"/>
      <c r="D191" s="13"/>
      <c r="E191" s="13"/>
      <c r="F191" s="13"/>
      <c r="G191" s="13"/>
      <c r="H191" s="13"/>
      <c r="T191" s="13"/>
      <c r="U191" s="13"/>
      <c r="V191" s="13"/>
      <c r="W191" s="13"/>
      <c r="X191" s="13"/>
      <c r="Y191" s="10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:35" ht="15.75" customHeight="1" x14ac:dyDescent="0.25">
      <c r="A192" s="10"/>
      <c r="B192" s="13"/>
      <c r="C192" s="13"/>
      <c r="D192" s="13"/>
      <c r="E192" s="13"/>
      <c r="F192" s="13"/>
      <c r="G192" s="13"/>
      <c r="H192" s="13"/>
      <c r="T192" s="13"/>
      <c r="U192" s="13"/>
      <c r="V192" s="13"/>
      <c r="W192" s="13"/>
      <c r="X192" s="13"/>
      <c r="Y192" s="10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:35" ht="15.75" customHeight="1" x14ac:dyDescent="0.25">
      <c r="A193" s="10"/>
      <c r="B193" s="13"/>
      <c r="C193" s="13"/>
      <c r="D193" s="13"/>
      <c r="E193" s="13"/>
      <c r="F193" s="13"/>
      <c r="G193" s="13"/>
      <c r="H193" s="13"/>
      <c r="T193" s="13"/>
      <c r="U193" s="13"/>
      <c r="V193" s="13"/>
      <c r="W193" s="13"/>
      <c r="X193" s="13"/>
      <c r="Y193" s="10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:35" ht="15.75" customHeight="1" x14ac:dyDescent="0.25">
      <c r="A194" s="10"/>
      <c r="B194" s="13"/>
      <c r="C194" s="13"/>
      <c r="D194" s="13"/>
      <c r="E194" s="13"/>
      <c r="F194" s="13"/>
      <c r="G194" s="13"/>
      <c r="H194" s="13"/>
      <c r="T194" s="13"/>
      <c r="U194" s="13"/>
      <c r="V194" s="13"/>
      <c r="W194" s="13"/>
      <c r="X194" s="13"/>
      <c r="Y194" s="10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:35" ht="15.75" customHeight="1" x14ac:dyDescent="0.25">
      <c r="A195" s="10"/>
      <c r="B195" s="13"/>
      <c r="C195" s="13"/>
      <c r="D195" s="13"/>
      <c r="E195" s="13"/>
      <c r="F195" s="13"/>
      <c r="G195" s="13"/>
      <c r="H195" s="13"/>
      <c r="T195" s="13"/>
      <c r="U195" s="13"/>
      <c r="V195" s="13"/>
      <c r="W195" s="13"/>
      <c r="X195" s="13"/>
      <c r="Y195" s="10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:35" ht="15.75" customHeight="1" x14ac:dyDescent="0.25">
      <c r="A196" s="10"/>
      <c r="B196" s="13"/>
      <c r="C196" s="13"/>
      <c r="D196" s="13"/>
      <c r="E196" s="13"/>
      <c r="F196" s="13"/>
      <c r="G196" s="13"/>
      <c r="H196" s="13"/>
      <c r="T196" s="13"/>
      <c r="U196" s="13"/>
      <c r="V196" s="13"/>
      <c r="W196" s="13"/>
      <c r="X196" s="13"/>
      <c r="Y196" s="10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:35" ht="15.75" customHeight="1" x14ac:dyDescent="0.25">
      <c r="A197" s="10"/>
      <c r="B197" s="13"/>
      <c r="C197" s="13"/>
      <c r="D197" s="13"/>
      <c r="E197" s="13"/>
      <c r="F197" s="13"/>
      <c r="G197" s="13"/>
      <c r="H197" s="13"/>
      <c r="T197" s="13"/>
      <c r="U197" s="13"/>
      <c r="V197" s="13"/>
      <c r="W197" s="13"/>
      <c r="X197" s="13"/>
      <c r="Y197" s="10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:35" ht="15.75" customHeight="1" x14ac:dyDescent="0.25">
      <c r="A198" s="10"/>
      <c r="B198" s="13"/>
      <c r="C198" s="13"/>
      <c r="D198" s="13"/>
      <c r="E198" s="13"/>
      <c r="F198" s="13"/>
      <c r="G198" s="13"/>
      <c r="H198" s="13"/>
      <c r="T198" s="13"/>
      <c r="U198" s="13"/>
      <c r="V198" s="13"/>
      <c r="W198" s="13"/>
      <c r="X198" s="13"/>
      <c r="Y198" s="10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:35" ht="15.75" customHeight="1" x14ac:dyDescent="0.25">
      <c r="A199" s="10"/>
      <c r="B199" s="13"/>
      <c r="C199" s="13"/>
      <c r="D199" s="13"/>
      <c r="E199" s="13"/>
      <c r="F199" s="13"/>
      <c r="G199" s="13"/>
      <c r="H199" s="13"/>
      <c r="T199" s="13"/>
      <c r="U199" s="13"/>
      <c r="V199" s="13"/>
      <c r="W199" s="13"/>
      <c r="X199" s="13"/>
      <c r="Y199" s="10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:35" ht="15.75" customHeight="1" x14ac:dyDescent="0.25">
      <c r="A200" s="10"/>
      <c r="B200" s="13"/>
      <c r="C200" s="13"/>
      <c r="D200" s="13"/>
      <c r="E200" s="13"/>
      <c r="F200" s="13"/>
      <c r="G200" s="13"/>
      <c r="H200" s="13"/>
      <c r="T200" s="13"/>
      <c r="U200" s="13"/>
      <c r="V200" s="13"/>
      <c r="W200" s="13"/>
      <c r="X200" s="13"/>
      <c r="Y200" s="10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:35" ht="15.75" customHeight="1" x14ac:dyDescent="0.25">
      <c r="A201" s="10"/>
      <c r="B201" s="13"/>
      <c r="C201" s="13"/>
      <c r="D201" s="13"/>
      <c r="E201" s="13"/>
      <c r="F201" s="13"/>
      <c r="G201" s="13"/>
      <c r="H201" s="13"/>
      <c r="T201" s="13"/>
      <c r="U201" s="13"/>
      <c r="V201" s="13"/>
      <c r="W201" s="13"/>
      <c r="X201" s="13"/>
      <c r="Y201" s="10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:35" ht="15.75" customHeight="1" x14ac:dyDescent="0.25">
      <c r="A202" s="10"/>
      <c r="B202" s="13"/>
      <c r="C202" s="13"/>
      <c r="D202" s="13"/>
      <c r="E202" s="13"/>
      <c r="F202" s="13"/>
      <c r="G202" s="13"/>
      <c r="H202" s="13"/>
      <c r="T202" s="13"/>
      <c r="U202" s="13"/>
      <c r="V202" s="13"/>
      <c r="W202" s="13"/>
      <c r="X202" s="13"/>
      <c r="Y202" s="10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:35" ht="15.75" customHeight="1" x14ac:dyDescent="0.25">
      <c r="A203" s="10"/>
      <c r="B203" s="13"/>
      <c r="C203" s="13"/>
      <c r="D203" s="13"/>
      <c r="E203" s="13"/>
      <c r="F203" s="13"/>
      <c r="G203" s="13"/>
      <c r="H203" s="13"/>
      <c r="T203" s="13"/>
      <c r="U203" s="13"/>
      <c r="V203" s="13"/>
      <c r="W203" s="13"/>
      <c r="X203" s="13"/>
      <c r="Y203" s="10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:35" ht="15.75" customHeight="1" x14ac:dyDescent="0.25">
      <c r="A204" s="10"/>
      <c r="B204" s="13"/>
      <c r="C204" s="13"/>
      <c r="D204" s="13"/>
      <c r="E204" s="13"/>
      <c r="F204" s="13"/>
      <c r="G204" s="13"/>
      <c r="H204" s="13"/>
      <c r="T204" s="13"/>
      <c r="U204" s="13"/>
      <c r="V204" s="13"/>
      <c r="W204" s="13"/>
      <c r="X204" s="13"/>
      <c r="Y204" s="10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:35" ht="15.75" customHeight="1" x14ac:dyDescent="0.25">
      <c r="A205" s="10"/>
      <c r="B205" s="13"/>
      <c r="C205" s="13"/>
      <c r="D205" s="13"/>
      <c r="E205" s="13"/>
      <c r="F205" s="13"/>
      <c r="G205" s="13"/>
      <c r="H205" s="13"/>
      <c r="T205" s="13"/>
      <c r="U205" s="13"/>
      <c r="V205" s="13"/>
      <c r="W205" s="13"/>
      <c r="X205" s="13"/>
      <c r="Y205" s="10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:35" ht="15.75" customHeight="1" x14ac:dyDescent="0.25">
      <c r="A206" s="10"/>
      <c r="B206" s="13"/>
      <c r="C206" s="13"/>
      <c r="D206" s="13"/>
      <c r="E206" s="13"/>
      <c r="F206" s="13"/>
      <c r="G206" s="13"/>
      <c r="H206" s="13"/>
      <c r="T206" s="13"/>
      <c r="U206" s="13"/>
      <c r="V206" s="13"/>
      <c r="W206" s="13"/>
      <c r="X206" s="13"/>
      <c r="Y206" s="10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:35" ht="15.75" customHeight="1" x14ac:dyDescent="0.25">
      <c r="A207" s="10"/>
      <c r="B207" s="13"/>
      <c r="C207" s="13"/>
      <c r="D207" s="13"/>
      <c r="E207" s="13"/>
      <c r="F207" s="13"/>
      <c r="G207" s="13"/>
      <c r="H207" s="13"/>
      <c r="T207" s="13"/>
      <c r="U207" s="13"/>
      <c r="V207" s="13"/>
      <c r="W207" s="13"/>
      <c r="X207" s="13"/>
      <c r="Y207" s="10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:35" ht="15.75" customHeight="1" x14ac:dyDescent="0.25">
      <c r="A208" s="10"/>
      <c r="B208" s="13"/>
      <c r="C208" s="13"/>
      <c r="D208" s="13"/>
      <c r="E208" s="13"/>
      <c r="F208" s="13"/>
      <c r="G208" s="13"/>
      <c r="H208" s="13"/>
      <c r="T208" s="13"/>
      <c r="U208" s="13"/>
      <c r="V208" s="13"/>
      <c r="W208" s="13"/>
      <c r="X208" s="13"/>
      <c r="Y208" s="10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:35" ht="15.75" customHeight="1" x14ac:dyDescent="0.25">
      <c r="A209" s="10"/>
      <c r="B209" s="13"/>
      <c r="C209" s="13"/>
      <c r="D209" s="13"/>
      <c r="E209" s="13"/>
      <c r="F209" s="13"/>
      <c r="G209" s="13"/>
      <c r="H209" s="13"/>
      <c r="T209" s="13"/>
      <c r="U209" s="13"/>
      <c r="V209" s="13"/>
      <c r="W209" s="13"/>
      <c r="X209" s="13"/>
      <c r="Y209" s="10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:35" ht="15.75" customHeight="1" x14ac:dyDescent="0.25">
      <c r="A210" s="10"/>
      <c r="B210" s="13"/>
      <c r="C210" s="13"/>
      <c r="D210" s="13"/>
      <c r="E210" s="13"/>
      <c r="F210" s="13"/>
      <c r="G210" s="13"/>
      <c r="H210" s="13"/>
      <c r="T210" s="13"/>
      <c r="U210" s="13"/>
      <c r="V210" s="13"/>
      <c r="W210" s="13"/>
      <c r="X210" s="13"/>
      <c r="Y210" s="10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:35" ht="15.75" customHeight="1" x14ac:dyDescent="0.25">
      <c r="A211" s="10"/>
      <c r="B211" s="13"/>
      <c r="C211" s="13"/>
      <c r="D211" s="13"/>
      <c r="E211" s="13"/>
      <c r="F211" s="13"/>
      <c r="G211" s="13"/>
      <c r="H211" s="13"/>
      <c r="T211" s="13"/>
      <c r="U211" s="13"/>
      <c r="V211" s="13"/>
      <c r="W211" s="13"/>
      <c r="X211" s="13"/>
      <c r="Y211" s="10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:35" ht="15.75" customHeight="1" x14ac:dyDescent="0.25">
      <c r="A212" s="10"/>
      <c r="B212" s="13"/>
      <c r="C212" s="13"/>
      <c r="D212" s="13"/>
      <c r="E212" s="13"/>
      <c r="F212" s="13"/>
      <c r="G212" s="13"/>
      <c r="H212" s="13"/>
      <c r="T212" s="13"/>
      <c r="U212" s="13"/>
      <c r="V212" s="13"/>
      <c r="W212" s="13"/>
      <c r="X212" s="13"/>
      <c r="Y212" s="10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:35" ht="15.75" customHeight="1" x14ac:dyDescent="0.25">
      <c r="A213" s="10"/>
      <c r="B213" s="13"/>
      <c r="C213" s="13"/>
      <c r="D213" s="13"/>
      <c r="E213" s="13"/>
      <c r="F213" s="13"/>
      <c r="G213" s="13"/>
      <c r="H213" s="13"/>
      <c r="T213" s="13"/>
      <c r="U213" s="13"/>
      <c r="V213" s="13"/>
      <c r="W213" s="13"/>
      <c r="X213" s="13"/>
      <c r="Y213" s="10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:35" ht="15.75" customHeight="1" x14ac:dyDescent="0.25">
      <c r="A214" s="10"/>
      <c r="B214" s="13"/>
      <c r="C214" s="13"/>
      <c r="D214" s="13"/>
      <c r="E214" s="13"/>
      <c r="F214" s="13"/>
      <c r="G214" s="13"/>
      <c r="H214" s="13"/>
      <c r="T214" s="13"/>
      <c r="U214" s="13"/>
      <c r="V214" s="13"/>
      <c r="W214" s="13"/>
      <c r="X214" s="13"/>
      <c r="Y214" s="10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:35" ht="15.75" customHeight="1" x14ac:dyDescent="0.25">
      <c r="A215" s="10"/>
      <c r="B215" s="13"/>
      <c r="C215" s="13"/>
      <c r="D215" s="13"/>
      <c r="E215" s="13"/>
      <c r="F215" s="13"/>
      <c r="G215" s="13"/>
      <c r="H215" s="13"/>
      <c r="T215" s="13"/>
      <c r="U215" s="13"/>
      <c r="V215" s="13"/>
      <c r="W215" s="13"/>
      <c r="X215" s="13"/>
      <c r="Y215" s="10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:35" ht="15.75" customHeight="1" x14ac:dyDescent="0.25">
      <c r="A216" s="10"/>
      <c r="B216" s="13"/>
      <c r="C216" s="13"/>
      <c r="D216" s="13"/>
      <c r="E216" s="13"/>
      <c r="F216" s="13"/>
      <c r="G216" s="13"/>
      <c r="H216" s="13"/>
      <c r="T216" s="13"/>
      <c r="U216" s="13"/>
      <c r="V216" s="13"/>
      <c r="W216" s="13"/>
      <c r="X216" s="13"/>
      <c r="Y216" s="10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:35" ht="15.75" customHeight="1" x14ac:dyDescent="0.25">
      <c r="A217" s="10"/>
      <c r="B217" s="13"/>
      <c r="C217" s="13"/>
      <c r="D217" s="13"/>
      <c r="E217" s="13"/>
      <c r="F217" s="13"/>
      <c r="G217" s="13"/>
      <c r="H217" s="13"/>
      <c r="T217" s="13"/>
      <c r="U217" s="13"/>
      <c r="V217" s="13"/>
      <c r="W217" s="13"/>
      <c r="X217" s="13"/>
      <c r="Y217" s="10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:35" ht="15.75" customHeight="1" x14ac:dyDescent="0.25">
      <c r="A218" s="10"/>
      <c r="B218" s="13"/>
      <c r="C218" s="13"/>
      <c r="D218" s="13"/>
      <c r="E218" s="13"/>
      <c r="F218" s="13"/>
      <c r="G218" s="13"/>
      <c r="H218" s="13"/>
      <c r="T218" s="13"/>
      <c r="U218" s="13"/>
      <c r="V218" s="13"/>
      <c r="W218" s="13"/>
      <c r="X218" s="13"/>
      <c r="Y218" s="10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:35" ht="15.75" customHeight="1" x14ac:dyDescent="0.25">
      <c r="A219" s="10"/>
      <c r="B219" s="13"/>
      <c r="C219" s="13"/>
      <c r="D219" s="13"/>
      <c r="E219" s="13"/>
      <c r="F219" s="13"/>
      <c r="G219" s="13"/>
      <c r="H219" s="13"/>
      <c r="T219" s="13"/>
      <c r="U219" s="13"/>
      <c r="V219" s="13"/>
      <c r="W219" s="13"/>
      <c r="X219" s="13"/>
      <c r="Y219" s="10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:35" ht="15.75" customHeight="1" x14ac:dyDescent="0.25">
      <c r="A220" s="10"/>
      <c r="B220" s="13"/>
      <c r="C220" s="13"/>
      <c r="D220" s="13"/>
      <c r="E220" s="13"/>
      <c r="F220" s="13"/>
      <c r="G220" s="13"/>
      <c r="H220" s="13"/>
      <c r="T220" s="13"/>
      <c r="U220" s="13"/>
      <c r="V220" s="13"/>
      <c r="W220" s="13"/>
      <c r="X220" s="13"/>
      <c r="Y220" s="10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:35" ht="15.75" customHeight="1" x14ac:dyDescent="0.25">
      <c r="A221" s="10"/>
      <c r="B221" s="13"/>
      <c r="C221" s="13"/>
      <c r="D221" s="13"/>
      <c r="E221" s="13"/>
      <c r="F221" s="13"/>
      <c r="G221" s="13"/>
      <c r="H221" s="13"/>
      <c r="T221" s="13"/>
      <c r="U221" s="13"/>
      <c r="V221" s="13"/>
      <c r="W221" s="13"/>
      <c r="X221" s="13"/>
      <c r="Y221" s="10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:35" ht="15.75" customHeight="1" x14ac:dyDescent="0.25">
      <c r="A222" s="10"/>
      <c r="B222" s="13"/>
      <c r="C222" s="13"/>
      <c r="D222" s="13"/>
      <c r="E222" s="13"/>
      <c r="F222" s="13"/>
      <c r="G222" s="13"/>
      <c r="H222" s="13"/>
      <c r="T222" s="13"/>
      <c r="U222" s="13"/>
      <c r="V222" s="13"/>
      <c r="W222" s="13"/>
      <c r="X222" s="13"/>
      <c r="Y222" s="10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:35" ht="15.75" customHeight="1" x14ac:dyDescent="0.25">
      <c r="A223" s="10"/>
      <c r="B223" s="13"/>
      <c r="C223" s="13"/>
      <c r="D223" s="13"/>
      <c r="E223" s="13"/>
      <c r="F223" s="13"/>
      <c r="G223" s="13"/>
      <c r="H223" s="13"/>
      <c r="T223" s="13"/>
      <c r="U223" s="13"/>
      <c r="V223" s="13"/>
      <c r="W223" s="13"/>
      <c r="X223" s="13"/>
      <c r="Y223" s="10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:35" ht="15.75" customHeight="1" x14ac:dyDescent="0.25">
      <c r="A224" s="10"/>
      <c r="B224" s="13"/>
      <c r="C224" s="13"/>
      <c r="D224" s="13"/>
      <c r="E224" s="13"/>
      <c r="F224" s="13"/>
      <c r="G224" s="13"/>
      <c r="H224" s="13"/>
      <c r="T224" s="13"/>
      <c r="U224" s="13"/>
      <c r="V224" s="13"/>
      <c r="W224" s="13"/>
      <c r="X224" s="13"/>
      <c r="Y224" s="10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:35" ht="15.75" customHeight="1" x14ac:dyDescent="0.25">
      <c r="A225" s="10"/>
      <c r="B225" s="13"/>
      <c r="C225" s="13"/>
      <c r="D225" s="13"/>
      <c r="E225" s="13"/>
      <c r="F225" s="13"/>
      <c r="G225" s="13"/>
      <c r="H225" s="13"/>
      <c r="T225" s="13"/>
      <c r="U225" s="13"/>
      <c r="V225" s="13"/>
      <c r="W225" s="13"/>
      <c r="X225" s="13"/>
      <c r="Y225" s="10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:35" ht="15.75" customHeight="1" x14ac:dyDescent="0.25">
      <c r="A226" s="10"/>
      <c r="B226" s="13"/>
      <c r="C226" s="13"/>
      <c r="D226" s="13"/>
      <c r="E226" s="13"/>
      <c r="F226" s="13"/>
      <c r="G226" s="13"/>
      <c r="H226" s="13"/>
      <c r="T226" s="13"/>
      <c r="U226" s="13"/>
      <c r="V226" s="13"/>
      <c r="W226" s="13"/>
      <c r="X226" s="13"/>
      <c r="Y226" s="10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:35" ht="15.75" customHeight="1" x14ac:dyDescent="0.25">
      <c r="A227" s="10"/>
      <c r="B227" s="13"/>
      <c r="C227" s="13"/>
      <c r="D227" s="13"/>
      <c r="E227" s="13"/>
      <c r="F227" s="13"/>
      <c r="G227" s="13"/>
      <c r="H227" s="13"/>
      <c r="T227" s="13"/>
      <c r="U227" s="13"/>
      <c r="V227" s="13"/>
      <c r="W227" s="13"/>
      <c r="X227" s="13"/>
      <c r="Y227" s="10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:35" ht="15.75" customHeight="1" x14ac:dyDescent="0.25">
      <c r="A228" s="10"/>
      <c r="B228" s="13"/>
      <c r="C228" s="13"/>
      <c r="D228" s="13"/>
      <c r="E228" s="13"/>
      <c r="F228" s="13"/>
      <c r="G228" s="13"/>
      <c r="H228" s="13"/>
      <c r="T228" s="13"/>
      <c r="U228" s="13"/>
      <c r="V228" s="13"/>
      <c r="W228" s="13"/>
      <c r="X228" s="13"/>
      <c r="Y228" s="10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:35" ht="15.75" customHeight="1" x14ac:dyDescent="0.25">
      <c r="A229" s="10"/>
      <c r="B229" s="13"/>
      <c r="C229" s="13"/>
      <c r="D229" s="13"/>
      <c r="E229" s="13"/>
      <c r="F229" s="13"/>
      <c r="G229" s="13"/>
      <c r="H229" s="13"/>
      <c r="T229" s="13"/>
      <c r="U229" s="13"/>
      <c r="V229" s="13"/>
      <c r="W229" s="13"/>
      <c r="X229" s="13"/>
      <c r="Y229" s="10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:35" ht="15.75" customHeight="1" x14ac:dyDescent="0.25">
      <c r="A230" s="10"/>
      <c r="B230" s="13"/>
      <c r="C230" s="13"/>
      <c r="D230" s="13"/>
      <c r="E230" s="13"/>
      <c r="F230" s="13"/>
      <c r="G230" s="13"/>
      <c r="H230" s="13"/>
      <c r="T230" s="13"/>
      <c r="U230" s="13"/>
      <c r="V230" s="13"/>
      <c r="W230" s="13"/>
      <c r="X230" s="13"/>
      <c r="Y230" s="10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:35" ht="15.75" customHeight="1" x14ac:dyDescent="0.25">
      <c r="A231" s="10"/>
      <c r="B231" s="13"/>
      <c r="C231" s="13"/>
      <c r="D231" s="13"/>
      <c r="E231" s="13"/>
      <c r="F231" s="13"/>
      <c r="G231" s="13"/>
      <c r="H231" s="13"/>
      <c r="T231" s="13"/>
      <c r="U231" s="13"/>
      <c r="V231" s="13"/>
      <c r="W231" s="13"/>
      <c r="X231" s="13"/>
      <c r="Y231" s="10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:35" ht="15.75" customHeight="1" x14ac:dyDescent="0.25">
      <c r="A232" s="10"/>
      <c r="B232" s="13"/>
      <c r="C232" s="13"/>
      <c r="D232" s="13"/>
      <c r="E232" s="13"/>
      <c r="F232" s="13"/>
      <c r="G232" s="13"/>
      <c r="H232" s="13"/>
      <c r="T232" s="13"/>
      <c r="U232" s="13"/>
      <c r="V232" s="13"/>
      <c r="W232" s="13"/>
      <c r="X232" s="13"/>
      <c r="Y232" s="10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:35" ht="15.75" customHeight="1" x14ac:dyDescent="0.25">
      <c r="A233" s="10"/>
      <c r="B233" s="13"/>
      <c r="C233" s="13"/>
      <c r="D233" s="13"/>
      <c r="E233" s="13"/>
      <c r="F233" s="13"/>
      <c r="G233" s="13"/>
      <c r="H233" s="13"/>
      <c r="T233" s="13"/>
      <c r="U233" s="13"/>
      <c r="V233" s="13"/>
      <c r="W233" s="13"/>
      <c r="X233" s="13"/>
      <c r="Y233" s="10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:35" ht="15.75" customHeight="1" x14ac:dyDescent="0.25">
      <c r="A234" s="10"/>
      <c r="B234" s="13"/>
      <c r="C234" s="13"/>
      <c r="D234" s="13"/>
      <c r="E234" s="13"/>
      <c r="F234" s="13"/>
      <c r="G234" s="13"/>
      <c r="H234" s="13"/>
      <c r="T234" s="13"/>
      <c r="U234" s="13"/>
      <c r="V234" s="13"/>
      <c r="W234" s="13"/>
      <c r="X234" s="13"/>
      <c r="Y234" s="10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:35" ht="15.75" customHeight="1" x14ac:dyDescent="0.25">
      <c r="A235" s="10"/>
      <c r="B235" s="13"/>
      <c r="C235" s="13"/>
      <c r="D235" s="13"/>
      <c r="E235" s="13"/>
      <c r="F235" s="13"/>
      <c r="G235" s="13"/>
      <c r="H235" s="13"/>
      <c r="T235" s="13"/>
      <c r="U235" s="13"/>
      <c r="V235" s="13"/>
      <c r="W235" s="13"/>
      <c r="X235" s="13"/>
      <c r="Y235" s="10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:35" ht="15.75" customHeight="1" x14ac:dyDescent="0.25">
      <c r="A236" s="10"/>
      <c r="B236" s="13"/>
      <c r="C236" s="13"/>
      <c r="D236" s="13"/>
      <c r="E236" s="13"/>
      <c r="F236" s="13"/>
      <c r="G236" s="13"/>
      <c r="H236" s="13"/>
      <c r="T236" s="13"/>
      <c r="U236" s="13"/>
      <c r="V236" s="13"/>
      <c r="W236" s="13"/>
      <c r="X236" s="13"/>
      <c r="Y236" s="10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:35" ht="15.75" customHeight="1" x14ac:dyDescent="0.25">
      <c r="A237" s="10"/>
      <c r="B237" s="13"/>
      <c r="C237" s="13"/>
      <c r="D237" s="13"/>
      <c r="E237" s="13"/>
      <c r="F237" s="13"/>
      <c r="G237" s="13"/>
      <c r="H237" s="13"/>
      <c r="T237" s="13"/>
      <c r="U237" s="13"/>
      <c r="V237" s="13"/>
      <c r="W237" s="13"/>
      <c r="X237" s="13"/>
      <c r="Y237" s="10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:35" ht="15.75" customHeight="1" x14ac:dyDescent="0.25">
      <c r="A238" s="10"/>
      <c r="B238" s="13"/>
      <c r="C238" s="13"/>
      <c r="D238" s="13"/>
      <c r="E238" s="13"/>
      <c r="F238" s="13"/>
      <c r="G238" s="13"/>
      <c r="H238" s="13"/>
      <c r="T238" s="13"/>
      <c r="U238" s="13"/>
      <c r="V238" s="13"/>
      <c r="W238" s="13"/>
      <c r="X238" s="13"/>
      <c r="Y238" s="10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:35" ht="15.75" customHeight="1" x14ac:dyDescent="0.25">
      <c r="A239" s="10"/>
      <c r="B239" s="13"/>
      <c r="C239" s="13"/>
      <c r="D239" s="13"/>
      <c r="E239" s="13"/>
      <c r="F239" s="13"/>
      <c r="G239" s="13"/>
      <c r="H239" s="13"/>
      <c r="T239" s="13"/>
      <c r="U239" s="13"/>
      <c r="V239" s="13"/>
      <c r="W239" s="13"/>
      <c r="X239" s="13"/>
      <c r="Y239" s="10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:35" ht="15.75" customHeight="1" x14ac:dyDescent="0.25">
      <c r="A240" s="10"/>
      <c r="B240" s="13"/>
      <c r="C240" s="13"/>
      <c r="D240" s="13"/>
      <c r="E240" s="13"/>
      <c r="F240" s="13"/>
      <c r="G240" s="13"/>
      <c r="H240" s="13"/>
      <c r="T240" s="13"/>
      <c r="U240" s="13"/>
      <c r="V240" s="13"/>
      <c r="W240" s="13"/>
      <c r="X240" s="13"/>
      <c r="Y240" s="10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:35" ht="15.75" customHeight="1" x14ac:dyDescent="0.25">
      <c r="A241" s="10"/>
      <c r="B241" s="13"/>
      <c r="C241" s="13"/>
      <c r="D241" s="13"/>
      <c r="E241" s="13"/>
      <c r="F241" s="13"/>
      <c r="G241" s="13"/>
      <c r="H241" s="13"/>
      <c r="T241" s="13"/>
      <c r="U241" s="13"/>
      <c r="V241" s="13"/>
      <c r="W241" s="13"/>
      <c r="X241" s="13"/>
      <c r="Y241" s="10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:35" ht="15.75" customHeight="1" x14ac:dyDescent="0.25">
      <c r="A242" s="10"/>
      <c r="B242" s="13"/>
      <c r="C242" s="13"/>
      <c r="D242" s="13"/>
      <c r="E242" s="13"/>
      <c r="F242" s="13"/>
      <c r="G242" s="13"/>
      <c r="H242" s="13"/>
      <c r="T242" s="13"/>
      <c r="U242" s="13"/>
      <c r="V242" s="13"/>
      <c r="W242" s="13"/>
      <c r="X242" s="13"/>
      <c r="Y242" s="10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:35" ht="15.75" customHeight="1" x14ac:dyDescent="0.25">
      <c r="A243" s="10"/>
      <c r="B243" s="13"/>
      <c r="C243" s="13"/>
      <c r="D243" s="13"/>
      <c r="E243" s="13"/>
      <c r="F243" s="13"/>
      <c r="G243" s="13"/>
      <c r="H243" s="13"/>
      <c r="T243" s="13"/>
      <c r="U243" s="13"/>
      <c r="V243" s="13"/>
      <c r="W243" s="13"/>
      <c r="X243" s="13"/>
      <c r="Y243" s="10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:35" ht="15.75" customHeight="1" x14ac:dyDescent="0.25">
      <c r="A244" s="10"/>
      <c r="B244" s="13"/>
      <c r="C244" s="13"/>
      <c r="D244" s="13"/>
      <c r="E244" s="13"/>
      <c r="F244" s="13"/>
      <c r="G244" s="13"/>
      <c r="H244" s="13"/>
      <c r="T244" s="13"/>
      <c r="U244" s="13"/>
      <c r="V244" s="13"/>
      <c r="W244" s="13"/>
      <c r="X244" s="13"/>
      <c r="Y244" s="10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:35" ht="15.75" customHeight="1" x14ac:dyDescent="0.25">
      <c r="A245" s="10"/>
      <c r="B245" s="13"/>
      <c r="C245" s="13"/>
      <c r="D245" s="13"/>
      <c r="E245" s="13"/>
      <c r="F245" s="13"/>
      <c r="G245" s="13"/>
      <c r="H245" s="13"/>
      <c r="T245" s="13"/>
      <c r="U245" s="13"/>
      <c r="V245" s="13"/>
      <c r="W245" s="13"/>
      <c r="X245" s="13"/>
      <c r="Y245" s="10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:35" ht="15.75" customHeight="1" x14ac:dyDescent="0.25">
      <c r="A246" s="10"/>
      <c r="B246" s="13"/>
      <c r="C246" s="13"/>
      <c r="D246" s="13"/>
      <c r="E246" s="13"/>
      <c r="F246" s="13"/>
      <c r="G246" s="13"/>
      <c r="H246" s="13"/>
      <c r="T246" s="13"/>
      <c r="U246" s="13"/>
      <c r="V246" s="13"/>
      <c r="W246" s="13"/>
      <c r="X246" s="13"/>
      <c r="Y246" s="10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:35" ht="15.75" customHeight="1" x14ac:dyDescent="0.25">
      <c r="A247" s="10"/>
      <c r="B247" s="13"/>
      <c r="C247" s="13"/>
      <c r="D247" s="13"/>
      <c r="E247" s="13"/>
      <c r="F247" s="13"/>
      <c r="G247" s="13"/>
      <c r="H247" s="13"/>
      <c r="T247" s="13"/>
      <c r="U247" s="13"/>
      <c r="V247" s="13"/>
      <c r="W247" s="13"/>
      <c r="X247" s="13"/>
      <c r="Y247" s="10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:35" ht="15.75" customHeight="1" x14ac:dyDescent="0.25">
      <c r="A248" s="10"/>
      <c r="B248" s="13"/>
      <c r="C248" s="13"/>
      <c r="D248" s="13"/>
      <c r="E248" s="13"/>
      <c r="F248" s="13"/>
      <c r="G248" s="13"/>
      <c r="H248" s="13"/>
      <c r="T248" s="13"/>
      <c r="U248" s="13"/>
      <c r="V248" s="13"/>
      <c r="W248" s="13"/>
      <c r="X248" s="13"/>
      <c r="Y248" s="10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:35" ht="15.75" customHeight="1" x14ac:dyDescent="0.25">
      <c r="A249" s="10"/>
      <c r="B249" s="13"/>
      <c r="C249" s="13"/>
      <c r="D249" s="13"/>
      <c r="E249" s="13"/>
      <c r="F249" s="13"/>
      <c r="G249" s="13"/>
      <c r="H249" s="13"/>
      <c r="T249" s="13"/>
      <c r="U249" s="13"/>
      <c r="V249" s="13"/>
      <c r="W249" s="13"/>
      <c r="X249" s="13"/>
      <c r="Y249" s="10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:35" ht="15.75" customHeight="1" x14ac:dyDescent="0.25">
      <c r="A250" s="10"/>
      <c r="B250" s="13"/>
      <c r="C250" s="13"/>
      <c r="D250" s="13"/>
      <c r="E250" s="13"/>
      <c r="F250" s="13"/>
      <c r="G250" s="13"/>
      <c r="H250" s="13"/>
      <c r="T250" s="13"/>
      <c r="U250" s="13"/>
      <c r="V250" s="13"/>
      <c r="W250" s="13"/>
      <c r="X250" s="13"/>
      <c r="Y250" s="10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:35" ht="15.75" customHeight="1" x14ac:dyDescent="0.25">
      <c r="A251" s="10"/>
      <c r="B251" s="13"/>
      <c r="C251" s="13"/>
      <c r="D251" s="13"/>
      <c r="E251" s="13"/>
      <c r="F251" s="13"/>
      <c r="G251" s="13"/>
      <c r="H251" s="13"/>
      <c r="T251" s="13"/>
      <c r="U251" s="13"/>
      <c r="V251" s="13"/>
      <c r="W251" s="13"/>
      <c r="X251" s="13"/>
      <c r="Y251" s="10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:35" ht="15.75" customHeight="1" x14ac:dyDescent="0.25">
      <c r="A252" s="10"/>
      <c r="B252" s="13"/>
      <c r="C252" s="13"/>
      <c r="D252" s="13"/>
      <c r="E252" s="13"/>
      <c r="F252" s="13"/>
      <c r="G252" s="13"/>
      <c r="H252" s="13"/>
      <c r="T252" s="13"/>
      <c r="U252" s="13"/>
      <c r="V252" s="13"/>
      <c r="W252" s="13"/>
      <c r="X252" s="13"/>
      <c r="Y252" s="10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:35" ht="15.75" customHeight="1" x14ac:dyDescent="0.25">
      <c r="A253" s="10"/>
      <c r="B253" s="13"/>
      <c r="C253" s="13"/>
      <c r="D253" s="13"/>
      <c r="E253" s="13"/>
      <c r="F253" s="13"/>
      <c r="G253" s="13"/>
      <c r="H253" s="13"/>
      <c r="T253" s="13"/>
      <c r="U253" s="13"/>
      <c r="V253" s="13"/>
      <c r="W253" s="13"/>
      <c r="X253" s="13"/>
      <c r="Y253" s="10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:35" ht="15.75" customHeight="1" x14ac:dyDescent="0.25">
      <c r="A254" s="10"/>
      <c r="B254" s="13"/>
      <c r="C254" s="13"/>
      <c r="D254" s="13"/>
      <c r="E254" s="13"/>
      <c r="F254" s="13"/>
      <c r="G254" s="13"/>
      <c r="H254" s="13"/>
      <c r="T254" s="13"/>
      <c r="U254" s="13"/>
      <c r="V254" s="13"/>
      <c r="W254" s="13"/>
      <c r="X254" s="13"/>
      <c r="Y254" s="10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:35" ht="15.75" customHeight="1" x14ac:dyDescent="0.25">
      <c r="A255" s="10"/>
      <c r="B255" s="13"/>
      <c r="C255" s="13"/>
      <c r="D255" s="13"/>
      <c r="E255" s="13"/>
      <c r="F255" s="13"/>
      <c r="G255" s="13"/>
      <c r="H255" s="13"/>
      <c r="T255" s="13"/>
      <c r="U255" s="13"/>
      <c r="V255" s="13"/>
      <c r="W255" s="13"/>
      <c r="X255" s="13"/>
      <c r="Y255" s="10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:35" ht="15.75" customHeight="1" x14ac:dyDescent="0.25">
      <c r="A256" s="10"/>
      <c r="B256" s="13"/>
      <c r="C256" s="13"/>
      <c r="D256" s="13"/>
      <c r="E256" s="13"/>
      <c r="F256" s="13"/>
      <c r="G256" s="13"/>
      <c r="H256" s="13"/>
      <c r="T256" s="13"/>
      <c r="U256" s="13"/>
      <c r="V256" s="13"/>
      <c r="W256" s="13"/>
      <c r="X256" s="13"/>
      <c r="Y256" s="10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:35" ht="15.75" customHeight="1" x14ac:dyDescent="0.25">
      <c r="A257" s="10"/>
      <c r="B257" s="13"/>
      <c r="C257" s="13"/>
      <c r="D257" s="13"/>
      <c r="E257" s="13"/>
      <c r="F257" s="13"/>
      <c r="G257" s="13"/>
      <c r="H257" s="13"/>
      <c r="T257" s="13"/>
      <c r="U257" s="13"/>
      <c r="V257" s="13"/>
      <c r="W257" s="13"/>
      <c r="X257" s="13"/>
      <c r="Y257" s="10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:35" ht="15.75" customHeight="1" x14ac:dyDescent="0.25">
      <c r="A258" s="10"/>
      <c r="B258" s="13"/>
      <c r="C258" s="13"/>
      <c r="D258" s="13"/>
      <c r="E258" s="13"/>
      <c r="F258" s="13"/>
      <c r="G258" s="13"/>
      <c r="H258" s="13"/>
      <c r="T258" s="13"/>
      <c r="U258" s="13"/>
      <c r="V258" s="13"/>
      <c r="W258" s="13"/>
      <c r="X258" s="13"/>
      <c r="Y258" s="10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:35" ht="15.75" customHeight="1" x14ac:dyDescent="0.25">
      <c r="A259" s="10"/>
      <c r="B259" s="13"/>
      <c r="C259" s="13"/>
      <c r="D259" s="13"/>
      <c r="E259" s="13"/>
      <c r="F259" s="13"/>
      <c r="G259" s="13"/>
      <c r="H259" s="13"/>
      <c r="T259" s="13"/>
      <c r="U259" s="13"/>
      <c r="V259" s="13"/>
      <c r="W259" s="13"/>
      <c r="X259" s="13"/>
      <c r="Y259" s="10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:35" ht="15.75" customHeight="1" x14ac:dyDescent="0.25">
      <c r="A260" s="10"/>
      <c r="B260" s="13"/>
      <c r="C260" s="13"/>
      <c r="D260" s="13"/>
      <c r="E260" s="13"/>
      <c r="F260" s="13"/>
      <c r="G260" s="13"/>
      <c r="H260" s="13"/>
      <c r="T260" s="13"/>
      <c r="U260" s="13"/>
      <c r="V260" s="13"/>
      <c r="W260" s="13"/>
      <c r="X260" s="13"/>
      <c r="Y260" s="10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:35" ht="15.75" customHeight="1" x14ac:dyDescent="0.25">
      <c r="A261" s="10"/>
      <c r="B261" s="13"/>
      <c r="C261" s="13"/>
      <c r="D261" s="13"/>
      <c r="E261" s="13"/>
      <c r="F261" s="13"/>
      <c r="G261" s="13"/>
      <c r="H261" s="13"/>
      <c r="T261" s="13"/>
      <c r="U261" s="13"/>
      <c r="V261" s="13"/>
      <c r="W261" s="13"/>
      <c r="X261" s="13"/>
      <c r="Y261" s="10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:35" ht="15.75" customHeight="1" x14ac:dyDescent="0.25">
      <c r="A262" s="10"/>
      <c r="B262" s="13"/>
      <c r="C262" s="13"/>
      <c r="D262" s="13"/>
      <c r="E262" s="13"/>
      <c r="F262" s="13"/>
      <c r="G262" s="13"/>
      <c r="H262" s="13"/>
      <c r="T262" s="13"/>
      <c r="U262" s="13"/>
      <c r="V262" s="13"/>
      <c r="W262" s="13"/>
      <c r="X262" s="13"/>
      <c r="Y262" s="10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:35" ht="15.75" customHeight="1" x14ac:dyDescent="0.25">
      <c r="A263" s="10"/>
      <c r="B263" s="13"/>
      <c r="C263" s="13"/>
      <c r="D263" s="13"/>
      <c r="E263" s="13"/>
      <c r="F263" s="13"/>
      <c r="G263" s="13"/>
      <c r="H263" s="13"/>
      <c r="T263" s="13"/>
      <c r="U263" s="13"/>
      <c r="V263" s="13"/>
      <c r="W263" s="13"/>
      <c r="X263" s="13"/>
      <c r="Y263" s="10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:35" ht="15.75" customHeight="1" x14ac:dyDescent="0.25">
      <c r="A264" s="10"/>
      <c r="B264" s="13"/>
      <c r="C264" s="13"/>
      <c r="D264" s="13"/>
      <c r="E264" s="13"/>
      <c r="F264" s="13"/>
      <c r="G264" s="13"/>
      <c r="H264" s="13"/>
      <c r="T264" s="13"/>
      <c r="U264" s="13"/>
      <c r="V264" s="13"/>
      <c r="W264" s="13"/>
      <c r="X264" s="13"/>
      <c r="Y264" s="10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:35" ht="15.75" customHeight="1" x14ac:dyDescent="0.25">
      <c r="A265" s="10"/>
      <c r="B265" s="13"/>
      <c r="C265" s="13"/>
      <c r="D265" s="13"/>
      <c r="E265" s="13"/>
      <c r="F265" s="13"/>
      <c r="G265" s="13"/>
      <c r="H265" s="13"/>
      <c r="T265" s="13"/>
      <c r="U265" s="13"/>
      <c r="V265" s="13"/>
      <c r="W265" s="13"/>
      <c r="X265" s="13"/>
      <c r="Y265" s="10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:35" ht="15.75" customHeight="1" x14ac:dyDescent="0.25">
      <c r="A266" s="10"/>
      <c r="B266" s="13"/>
      <c r="C266" s="13"/>
      <c r="D266" s="13"/>
      <c r="E266" s="13"/>
      <c r="F266" s="13"/>
      <c r="G266" s="13"/>
      <c r="H266" s="13"/>
      <c r="T266" s="13"/>
      <c r="U266" s="13"/>
      <c r="V266" s="13"/>
      <c r="W266" s="13"/>
      <c r="X266" s="13"/>
      <c r="Y266" s="10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:35" ht="15.75" customHeight="1" x14ac:dyDescent="0.25">
      <c r="A267" s="10"/>
      <c r="B267" s="13"/>
      <c r="C267" s="13"/>
      <c r="D267" s="13"/>
      <c r="E267" s="13"/>
      <c r="F267" s="13"/>
      <c r="G267" s="13"/>
      <c r="H267" s="13"/>
      <c r="T267" s="13"/>
      <c r="U267" s="13"/>
      <c r="V267" s="13"/>
      <c r="W267" s="13"/>
      <c r="X267" s="13"/>
      <c r="Y267" s="10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:35" ht="15.75" customHeight="1" x14ac:dyDescent="0.25">
      <c r="A268" s="10"/>
      <c r="B268" s="13"/>
      <c r="C268" s="13"/>
      <c r="D268" s="13"/>
      <c r="E268" s="13"/>
      <c r="F268" s="13"/>
      <c r="G268" s="13"/>
      <c r="H268" s="13"/>
      <c r="T268" s="13"/>
      <c r="U268" s="13"/>
      <c r="V268" s="13"/>
      <c r="W268" s="13"/>
      <c r="X268" s="13"/>
      <c r="Y268" s="10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:35" ht="15.75" customHeight="1" x14ac:dyDescent="0.25">
      <c r="A269" s="10"/>
      <c r="B269" s="13"/>
      <c r="C269" s="13"/>
      <c r="D269" s="13"/>
      <c r="E269" s="13"/>
      <c r="F269" s="13"/>
      <c r="G269" s="13"/>
      <c r="H269" s="13"/>
      <c r="T269" s="13"/>
      <c r="U269" s="13"/>
      <c r="V269" s="13"/>
      <c r="W269" s="13"/>
      <c r="X269" s="13"/>
      <c r="Y269" s="10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:35" ht="15.75" customHeight="1" x14ac:dyDescent="0.25">
      <c r="A270" s="10"/>
      <c r="B270" s="13"/>
      <c r="C270" s="13"/>
      <c r="D270" s="13"/>
      <c r="E270" s="13"/>
      <c r="F270" s="13"/>
      <c r="G270" s="13"/>
      <c r="H270" s="13"/>
      <c r="T270" s="13"/>
      <c r="U270" s="13"/>
      <c r="V270" s="13"/>
      <c r="W270" s="13"/>
      <c r="X270" s="13"/>
      <c r="Y270" s="10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:35" ht="15.75" customHeight="1" x14ac:dyDescent="0.25">
      <c r="A271" s="10"/>
      <c r="B271" s="13"/>
      <c r="C271" s="13"/>
      <c r="D271" s="13"/>
      <c r="E271" s="13"/>
      <c r="F271" s="13"/>
      <c r="G271" s="13"/>
      <c r="H271" s="13"/>
      <c r="T271" s="13"/>
      <c r="U271" s="13"/>
      <c r="V271" s="13"/>
      <c r="W271" s="13"/>
      <c r="X271" s="13"/>
      <c r="Y271" s="10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:35" ht="15.75" customHeight="1" x14ac:dyDescent="0.25">
      <c r="A272" s="10"/>
      <c r="B272" s="13"/>
      <c r="C272" s="13"/>
      <c r="D272" s="13"/>
      <c r="E272" s="13"/>
      <c r="F272" s="13"/>
      <c r="G272" s="13"/>
      <c r="H272" s="13"/>
      <c r="T272" s="13"/>
      <c r="U272" s="13"/>
      <c r="V272" s="13"/>
      <c r="W272" s="13"/>
      <c r="X272" s="13"/>
      <c r="Y272" s="10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:35" ht="15.75" customHeight="1" x14ac:dyDescent="0.25">
      <c r="A273" s="10"/>
      <c r="B273" s="13"/>
      <c r="C273" s="13"/>
      <c r="D273" s="13"/>
      <c r="E273" s="13"/>
      <c r="F273" s="13"/>
      <c r="G273" s="13"/>
      <c r="H273" s="13"/>
      <c r="T273" s="13"/>
      <c r="U273" s="13"/>
      <c r="V273" s="13"/>
      <c r="W273" s="13"/>
      <c r="X273" s="13"/>
      <c r="Y273" s="10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:35" ht="15.75" customHeight="1" x14ac:dyDescent="0.25">
      <c r="A274" s="10"/>
      <c r="B274" s="13"/>
      <c r="C274" s="13"/>
      <c r="D274" s="13"/>
      <c r="E274" s="13"/>
      <c r="F274" s="13"/>
      <c r="G274" s="13"/>
      <c r="H274" s="13"/>
      <c r="T274" s="13"/>
      <c r="U274" s="13"/>
      <c r="V274" s="13"/>
      <c r="W274" s="13"/>
      <c r="X274" s="13"/>
      <c r="Y274" s="10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:35" ht="15.75" customHeight="1" x14ac:dyDescent="0.25">
      <c r="A275" s="10"/>
      <c r="B275" s="13"/>
      <c r="C275" s="13"/>
      <c r="D275" s="13"/>
      <c r="E275" s="13"/>
      <c r="F275" s="13"/>
      <c r="G275" s="13"/>
      <c r="H275" s="13"/>
      <c r="T275" s="13"/>
      <c r="U275" s="13"/>
      <c r="V275" s="13"/>
      <c r="W275" s="13"/>
      <c r="X275" s="13"/>
      <c r="Y275" s="10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:35" ht="15.75" customHeight="1" x14ac:dyDescent="0.25">
      <c r="A276" s="10"/>
      <c r="B276" s="13"/>
      <c r="C276" s="13"/>
      <c r="D276" s="13"/>
      <c r="E276" s="13"/>
      <c r="F276" s="13"/>
      <c r="G276" s="13"/>
      <c r="H276" s="13"/>
      <c r="T276" s="13"/>
      <c r="U276" s="13"/>
      <c r="V276" s="13"/>
      <c r="W276" s="13"/>
      <c r="X276" s="13"/>
      <c r="Y276" s="10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:35" ht="15.75" customHeight="1" x14ac:dyDescent="0.25">
      <c r="A277" s="10"/>
      <c r="B277" s="13"/>
      <c r="C277" s="13"/>
      <c r="D277" s="13"/>
      <c r="E277" s="13"/>
      <c r="F277" s="13"/>
      <c r="G277" s="13"/>
      <c r="H277" s="13"/>
      <c r="T277" s="13"/>
      <c r="U277" s="13"/>
      <c r="V277" s="13"/>
      <c r="W277" s="13"/>
      <c r="X277" s="13"/>
      <c r="Y277" s="10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:35" ht="15.75" customHeight="1" x14ac:dyDescent="0.25">
      <c r="A278" s="10"/>
      <c r="B278" s="13"/>
      <c r="C278" s="13"/>
      <c r="D278" s="13"/>
      <c r="E278" s="13"/>
      <c r="F278" s="13"/>
      <c r="G278" s="13"/>
      <c r="H278" s="13"/>
      <c r="T278" s="13"/>
      <c r="U278" s="13"/>
      <c r="V278" s="13"/>
      <c r="W278" s="13"/>
      <c r="X278" s="13"/>
      <c r="Y278" s="10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:35" ht="15.75" customHeight="1" x14ac:dyDescent="0.25">
      <c r="A279" s="10"/>
      <c r="B279" s="13"/>
      <c r="C279" s="13"/>
      <c r="D279" s="13"/>
      <c r="E279" s="13"/>
      <c r="F279" s="13"/>
      <c r="G279" s="13"/>
      <c r="H279" s="13"/>
      <c r="T279" s="13"/>
      <c r="U279" s="13"/>
      <c r="V279" s="13"/>
      <c r="W279" s="13"/>
      <c r="X279" s="13"/>
      <c r="Y279" s="10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:35" ht="15.75" customHeight="1" x14ac:dyDescent="0.25">
      <c r="A280" s="10"/>
      <c r="B280" s="13"/>
      <c r="C280" s="13"/>
      <c r="D280" s="13"/>
      <c r="E280" s="13"/>
      <c r="F280" s="13"/>
      <c r="G280" s="13"/>
      <c r="H280" s="13"/>
      <c r="T280" s="13"/>
      <c r="U280" s="13"/>
      <c r="V280" s="13"/>
      <c r="W280" s="13"/>
      <c r="X280" s="13"/>
      <c r="Y280" s="10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:35" ht="15.75" customHeight="1" x14ac:dyDescent="0.25">
      <c r="A281" s="10"/>
      <c r="B281" s="13"/>
      <c r="C281" s="13"/>
      <c r="D281" s="13"/>
      <c r="E281" s="13"/>
      <c r="F281" s="13"/>
      <c r="G281" s="13"/>
      <c r="H281" s="13"/>
      <c r="T281" s="13"/>
      <c r="U281" s="13"/>
      <c r="V281" s="13"/>
      <c r="W281" s="13"/>
      <c r="X281" s="13"/>
      <c r="Y281" s="10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:35" ht="15.75" customHeight="1" x14ac:dyDescent="0.25">
      <c r="A282" s="10"/>
      <c r="B282" s="13"/>
      <c r="C282" s="13"/>
      <c r="D282" s="13"/>
      <c r="E282" s="13"/>
      <c r="F282" s="13"/>
      <c r="G282" s="13"/>
      <c r="H282" s="13"/>
      <c r="T282" s="13"/>
      <c r="U282" s="13"/>
      <c r="V282" s="13"/>
      <c r="W282" s="13"/>
      <c r="X282" s="13"/>
      <c r="Y282" s="10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:35" ht="15.75" customHeight="1" x14ac:dyDescent="0.25">
      <c r="A283" s="10"/>
      <c r="B283" s="13"/>
      <c r="C283" s="13"/>
      <c r="D283" s="13"/>
      <c r="E283" s="13"/>
      <c r="F283" s="13"/>
      <c r="G283" s="13"/>
      <c r="H283" s="13"/>
      <c r="T283" s="13"/>
      <c r="U283" s="13"/>
      <c r="V283" s="13"/>
      <c r="W283" s="13"/>
      <c r="X283" s="13"/>
      <c r="Y283" s="10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:35" ht="15.75" customHeight="1" x14ac:dyDescent="0.25">
      <c r="A284" s="10"/>
      <c r="B284" s="13"/>
      <c r="C284" s="13"/>
      <c r="D284" s="13"/>
      <c r="E284" s="13"/>
      <c r="F284" s="13"/>
      <c r="G284" s="13"/>
      <c r="H284" s="13"/>
      <c r="T284" s="13"/>
      <c r="U284" s="13"/>
      <c r="V284" s="13"/>
      <c r="W284" s="13"/>
      <c r="X284" s="13"/>
      <c r="Y284" s="10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:35" ht="15.75" customHeight="1" x14ac:dyDescent="0.25">
      <c r="A285" s="10"/>
      <c r="B285" s="13"/>
      <c r="C285" s="13"/>
      <c r="D285" s="13"/>
      <c r="E285" s="13"/>
      <c r="F285" s="13"/>
      <c r="G285" s="13"/>
      <c r="H285" s="13"/>
      <c r="T285" s="13"/>
      <c r="U285" s="13"/>
      <c r="V285" s="13"/>
      <c r="W285" s="13"/>
      <c r="X285" s="13"/>
      <c r="Y285" s="10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:35" ht="15.75" customHeight="1" x14ac:dyDescent="0.25">
      <c r="A286" s="10"/>
      <c r="B286" s="13"/>
      <c r="C286" s="13"/>
      <c r="D286" s="13"/>
      <c r="E286" s="13"/>
      <c r="F286" s="13"/>
      <c r="G286" s="13"/>
      <c r="H286" s="13"/>
      <c r="T286" s="13"/>
      <c r="U286" s="13"/>
      <c r="V286" s="13"/>
      <c r="W286" s="13"/>
      <c r="X286" s="13"/>
      <c r="Y286" s="10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:35" ht="15.75" customHeight="1" x14ac:dyDescent="0.25">
      <c r="A287" s="10"/>
      <c r="B287" s="13"/>
      <c r="C287" s="13"/>
      <c r="D287" s="13"/>
      <c r="E287" s="13"/>
      <c r="F287" s="13"/>
      <c r="G287" s="13"/>
      <c r="H287" s="13"/>
      <c r="T287" s="13"/>
      <c r="U287" s="13"/>
      <c r="V287" s="13"/>
      <c r="W287" s="13"/>
      <c r="X287" s="13"/>
      <c r="Y287" s="10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:35" ht="15.75" customHeight="1" x14ac:dyDescent="0.25">
      <c r="A288" s="10"/>
      <c r="B288" s="13"/>
      <c r="C288" s="13"/>
      <c r="D288" s="13"/>
      <c r="E288" s="13"/>
      <c r="F288" s="13"/>
      <c r="G288" s="13"/>
      <c r="H288" s="13"/>
      <c r="T288" s="13"/>
      <c r="U288" s="13"/>
      <c r="V288" s="13"/>
      <c r="W288" s="13"/>
      <c r="X288" s="13"/>
      <c r="Y288" s="10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:35" ht="15.75" customHeight="1" x14ac:dyDescent="0.25">
      <c r="A289" s="10"/>
      <c r="B289" s="13"/>
      <c r="C289" s="13"/>
      <c r="D289" s="13"/>
      <c r="E289" s="13"/>
      <c r="F289" s="13"/>
      <c r="G289" s="13"/>
      <c r="H289" s="13"/>
      <c r="T289" s="13"/>
      <c r="U289" s="13"/>
      <c r="V289" s="13"/>
      <c r="W289" s="13"/>
      <c r="X289" s="13"/>
      <c r="Y289" s="10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:35" ht="15.75" customHeight="1" x14ac:dyDescent="0.25">
      <c r="A290" s="10"/>
      <c r="B290" s="13"/>
      <c r="C290" s="13"/>
      <c r="D290" s="13"/>
      <c r="E290" s="13"/>
      <c r="F290" s="13"/>
      <c r="G290" s="13"/>
      <c r="H290" s="13"/>
      <c r="T290" s="13"/>
      <c r="U290" s="13"/>
      <c r="V290" s="13"/>
      <c r="W290" s="13"/>
      <c r="X290" s="13"/>
      <c r="Y290" s="10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:35" ht="15.75" customHeight="1" x14ac:dyDescent="0.25">
      <c r="A291" s="10"/>
      <c r="B291" s="13"/>
      <c r="C291" s="13"/>
      <c r="D291" s="13"/>
      <c r="E291" s="13"/>
      <c r="F291" s="13"/>
      <c r="G291" s="13"/>
      <c r="H291" s="13"/>
      <c r="T291" s="13"/>
      <c r="U291" s="13"/>
      <c r="V291" s="13"/>
      <c r="W291" s="13"/>
      <c r="X291" s="13"/>
      <c r="Y291" s="10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:35" ht="15.75" customHeight="1" x14ac:dyDescent="0.25">
      <c r="A292" s="10"/>
      <c r="B292" s="13"/>
      <c r="C292" s="13"/>
      <c r="D292" s="13"/>
      <c r="E292" s="13"/>
      <c r="F292" s="13"/>
      <c r="G292" s="13"/>
      <c r="H292" s="13"/>
      <c r="T292" s="13"/>
      <c r="U292" s="13"/>
      <c r="V292" s="13"/>
      <c r="W292" s="13"/>
      <c r="X292" s="13"/>
      <c r="Y292" s="10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:35" ht="15.75" customHeight="1" x14ac:dyDescent="0.25">
      <c r="A293" s="10"/>
      <c r="B293" s="13"/>
      <c r="C293" s="13"/>
      <c r="D293" s="13"/>
      <c r="E293" s="13"/>
      <c r="F293" s="13"/>
      <c r="G293" s="13"/>
      <c r="H293" s="13"/>
      <c r="T293" s="13"/>
      <c r="U293" s="13"/>
      <c r="V293" s="13"/>
      <c r="W293" s="13"/>
      <c r="X293" s="13"/>
      <c r="Y293" s="10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:35" ht="15.75" customHeight="1" x14ac:dyDescent="0.25">
      <c r="A294" s="10"/>
      <c r="B294" s="13"/>
      <c r="C294" s="13"/>
      <c r="D294" s="13"/>
      <c r="E294" s="13"/>
      <c r="F294" s="13"/>
      <c r="G294" s="13"/>
      <c r="H294" s="13"/>
      <c r="T294" s="13"/>
      <c r="U294" s="13"/>
      <c r="V294" s="13"/>
      <c r="W294" s="13"/>
      <c r="X294" s="13"/>
      <c r="Y294" s="10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:35" ht="15.75" customHeight="1" x14ac:dyDescent="0.25">
      <c r="A295" s="10"/>
      <c r="B295" s="13"/>
      <c r="C295" s="13"/>
      <c r="D295" s="13"/>
      <c r="E295" s="13"/>
      <c r="F295" s="13"/>
      <c r="G295" s="13"/>
      <c r="H295" s="13"/>
      <c r="T295" s="13"/>
      <c r="U295" s="13"/>
      <c r="V295" s="13"/>
      <c r="W295" s="13"/>
      <c r="X295" s="13"/>
      <c r="Y295" s="10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:35" ht="15.75" customHeight="1" x14ac:dyDescent="0.25">
      <c r="A296" s="10"/>
      <c r="B296" s="13"/>
      <c r="C296" s="13"/>
      <c r="D296" s="13"/>
      <c r="E296" s="13"/>
      <c r="F296" s="13"/>
      <c r="G296" s="13"/>
      <c r="H296" s="13"/>
      <c r="T296" s="13"/>
      <c r="U296" s="13"/>
      <c r="V296" s="13"/>
      <c r="W296" s="13"/>
      <c r="X296" s="13"/>
      <c r="Y296" s="10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:35" ht="15.75" customHeight="1" x14ac:dyDescent="0.25">
      <c r="A297" s="10"/>
      <c r="B297" s="13"/>
      <c r="C297" s="13"/>
      <c r="D297" s="13"/>
      <c r="E297" s="13"/>
      <c r="F297" s="13"/>
      <c r="G297" s="13"/>
      <c r="H297" s="13"/>
      <c r="T297" s="13"/>
      <c r="U297" s="13"/>
      <c r="V297" s="13"/>
      <c r="W297" s="13"/>
      <c r="X297" s="13"/>
      <c r="Y297" s="10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:35" ht="15.75" customHeight="1" x14ac:dyDescent="0.25">
      <c r="A298" s="10"/>
      <c r="B298" s="13"/>
      <c r="C298" s="13"/>
      <c r="D298" s="13"/>
      <c r="E298" s="13"/>
      <c r="F298" s="13"/>
      <c r="G298" s="13"/>
      <c r="H298" s="13"/>
      <c r="T298" s="13"/>
      <c r="U298" s="13"/>
      <c r="V298" s="13"/>
      <c r="W298" s="13"/>
      <c r="X298" s="13"/>
      <c r="Y298" s="10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:35" ht="15.75" customHeight="1" x14ac:dyDescent="0.25">
      <c r="A299" s="10"/>
      <c r="B299" s="13"/>
      <c r="C299" s="13"/>
      <c r="D299" s="13"/>
      <c r="E299" s="13"/>
      <c r="F299" s="13"/>
      <c r="G299" s="13"/>
      <c r="H299" s="13"/>
      <c r="T299" s="13"/>
      <c r="U299" s="13"/>
      <c r="V299" s="13"/>
      <c r="W299" s="13"/>
      <c r="X299" s="13"/>
      <c r="Y299" s="10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:35" ht="15.75" customHeight="1" x14ac:dyDescent="0.25">
      <c r="A300" s="10"/>
      <c r="B300" s="13"/>
      <c r="C300" s="13"/>
      <c r="D300" s="13"/>
      <c r="E300" s="13"/>
      <c r="F300" s="13"/>
      <c r="G300" s="13"/>
      <c r="H300" s="13"/>
      <c r="T300" s="13"/>
      <c r="U300" s="13"/>
      <c r="V300" s="13"/>
      <c r="W300" s="13"/>
      <c r="X300" s="13"/>
      <c r="Y300" s="10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:35" ht="15.75" customHeight="1" x14ac:dyDescent="0.25">
      <c r="A301" s="10"/>
      <c r="B301" s="13"/>
      <c r="C301" s="13"/>
      <c r="D301" s="13"/>
      <c r="E301" s="13"/>
      <c r="F301" s="13"/>
      <c r="G301" s="13"/>
      <c r="H301" s="13"/>
      <c r="T301" s="13"/>
      <c r="U301" s="13"/>
      <c r="V301" s="13"/>
      <c r="W301" s="13"/>
      <c r="X301" s="13"/>
      <c r="Y301" s="10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:35" ht="15.75" customHeight="1" x14ac:dyDescent="0.25">
      <c r="A302" s="10"/>
      <c r="B302" s="13"/>
      <c r="C302" s="13"/>
      <c r="D302" s="13"/>
      <c r="E302" s="13"/>
      <c r="F302" s="13"/>
      <c r="G302" s="13"/>
      <c r="H302" s="13"/>
      <c r="T302" s="13"/>
      <c r="U302" s="13"/>
      <c r="V302" s="13"/>
      <c r="W302" s="13"/>
      <c r="X302" s="13"/>
      <c r="Y302" s="10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:35" ht="15.75" customHeight="1" x14ac:dyDescent="0.25">
      <c r="A303" s="10"/>
      <c r="B303" s="13"/>
      <c r="C303" s="13"/>
      <c r="D303" s="13"/>
      <c r="E303" s="13"/>
      <c r="F303" s="13"/>
      <c r="G303" s="13"/>
      <c r="H303" s="13"/>
      <c r="T303" s="13"/>
      <c r="U303" s="13"/>
      <c r="V303" s="13"/>
      <c r="W303" s="13"/>
      <c r="X303" s="13"/>
      <c r="Y303" s="10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:35" ht="15.75" customHeight="1" x14ac:dyDescent="0.25">
      <c r="A304" s="10"/>
      <c r="B304" s="13"/>
      <c r="C304" s="13"/>
      <c r="D304" s="13"/>
      <c r="E304" s="13"/>
      <c r="F304" s="13"/>
      <c r="G304" s="13"/>
      <c r="H304" s="13"/>
      <c r="T304" s="13"/>
      <c r="U304" s="13"/>
      <c r="V304" s="13"/>
      <c r="W304" s="13"/>
      <c r="X304" s="13"/>
      <c r="Y304" s="10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:35" ht="15.75" customHeight="1" x14ac:dyDescent="0.25">
      <c r="A305" s="10"/>
      <c r="B305" s="13"/>
      <c r="C305" s="13"/>
      <c r="D305" s="13"/>
      <c r="E305" s="13"/>
      <c r="F305" s="13"/>
      <c r="G305" s="13"/>
      <c r="H305" s="13"/>
      <c r="T305" s="13"/>
      <c r="U305" s="13"/>
      <c r="V305" s="13"/>
      <c r="W305" s="13"/>
      <c r="X305" s="13"/>
      <c r="Y305" s="10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:35" ht="15.75" customHeight="1" x14ac:dyDescent="0.25">
      <c r="A306" s="10"/>
      <c r="B306" s="13"/>
      <c r="C306" s="13"/>
      <c r="D306" s="13"/>
      <c r="E306" s="13"/>
      <c r="F306" s="13"/>
      <c r="G306" s="13"/>
      <c r="H306" s="13"/>
      <c r="T306" s="13"/>
      <c r="U306" s="13"/>
      <c r="V306" s="13"/>
      <c r="W306" s="13"/>
      <c r="X306" s="13"/>
      <c r="Y306" s="10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:35" ht="15.75" customHeight="1" x14ac:dyDescent="0.25">
      <c r="A307" s="10"/>
      <c r="B307" s="13"/>
      <c r="C307" s="13"/>
      <c r="D307" s="13"/>
      <c r="E307" s="13"/>
      <c r="F307" s="13"/>
      <c r="G307" s="13"/>
      <c r="H307" s="13"/>
      <c r="T307" s="13"/>
      <c r="U307" s="13"/>
      <c r="V307" s="13"/>
      <c r="W307" s="13"/>
      <c r="X307" s="13"/>
      <c r="Y307" s="10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:35" ht="15.75" customHeight="1" x14ac:dyDescent="0.25">
      <c r="A308" s="10"/>
      <c r="B308" s="13"/>
      <c r="C308" s="13"/>
      <c r="D308" s="13"/>
      <c r="E308" s="13"/>
      <c r="F308" s="13"/>
      <c r="G308" s="13"/>
      <c r="H308" s="13"/>
      <c r="T308" s="13"/>
      <c r="U308" s="13"/>
      <c r="V308" s="13"/>
      <c r="W308" s="13"/>
      <c r="X308" s="13"/>
      <c r="Y308" s="10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:35" ht="15.75" customHeight="1" x14ac:dyDescent="0.25">
      <c r="A309" s="10"/>
      <c r="B309" s="13"/>
      <c r="C309" s="13"/>
      <c r="D309" s="13"/>
      <c r="E309" s="13"/>
      <c r="F309" s="13"/>
      <c r="G309" s="13"/>
      <c r="H309" s="13"/>
      <c r="T309" s="13"/>
      <c r="U309" s="13"/>
      <c r="V309" s="13"/>
      <c r="W309" s="13"/>
      <c r="X309" s="13"/>
      <c r="Y309" s="10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:35" ht="15.75" customHeight="1" x14ac:dyDescent="0.25">
      <c r="A310" s="10"/>
      <c r="B310" s="13"/>
      <c r="C310" s="13"/>
      <c r="D310" s="13"/>
      <c r="E310" s="13"/>
      <c r="F310" s="13"/>
      <c r="G310" s="13"/>
      <c r="H310" s="13"/>
      <c r="T310" s="13"/>
      <c r="U310" s="13"/>
      <c r="V310" s="13"/>
      <c r="W310" s="13"/>
      <c r="X310" s="13"/>
      <c r="Y310" s="10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:35" ht="15.75" customHeight="1" x14ac:dyDescent="0.25">
      <c r="A311" s="10"/>
      <c r="B311" s="13"/>
      <c r="C311" s="13"/>
      <c r="D311" s="13"/>
      <c r="E311" s="13"/>
      <c r="F311" s="13"/>
      <c r="G311" s="13"/>
      <c r="H311" s="13"/>
      <c r="T311" s="13"/>
      <c r="U311" s="13"/>
      <c r="V311" s="13"/>
      <c r="W311" s="13"/>
      <c r="X311" s="13"/>
      <c r="Y311" s="10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:35" ht="15.75" customHeight="1" x14ac:dyDescent="0.25">
      <c r="A312" s="10"/>
      <c r="B312" s="13"/>
      <c r="C312" s="13"/>
      <c r="D312" s="13"/>
      <c r="E312" s="13"/>
      <c r="F312" s="13"/>
      <c r="G312" s="13"/>
      <c r="H312" s="13"/>
      <c r="T312" s="13"/>
      <c r="U312" s="13"/>
      <c r="V312" s="13"/>
      <c r="W312" s="13"/>
      <c r="X312" s="13"/>
      <c r="Y312" s="10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:35" ht="15.75" customHeight="1" x14ac:dyDescent="0.25">
      <c r="A313" s="10"/>
      <c r="B313" s="13"/>
      <c r="C313" s="13"/>
      <c r="D313" s="13"/>
      <c r="E313" s="13"/>
      <c r="F313" s="13"/>
      <c r="G313" s="13"/>
      <c r="H313" s="13"/>
      <c r="T313" s="13"/>
      <c r="U313" s="13"/>
      <c r="V313" s="13"/>
      <c r="W313" s="13"/>
      <c r="X313" s="13"/>
      <c r="Y313" s="10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:35" ht="15.75" customHeight="1" x14ac:dyDescent="0.25">
      <c r="A314" s="10"/>
      <c r="B314" s="13"/>
      <c r="C314" s="13"/>
      <c r="D314" s="13"/>
      <c r="E314" s="13"/>
      <c r="F314" s="13"/>
      <c r="G314" s="13"/>
      <c r="H314" s="13"/>
      <c r="T314" s="13"/>
      <c r="U314" s="13"/>
      <c r="V314" s="13"/>
      <c r="W314" s="13"/>
      <c r="X314" s="13"/>
      <c r="Y314" s="10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:35" ht="15.75" customHeight="1" x14ac:dyDescent="0.25">
      <c r="A315" s="10"/>
      <c r="B315" s="13"/>
      <c r="C315" s="13"/>
      <c r="D315" s="13"/>
      <c r="E315" s="13"/>
      <c r="F315" s="13"/>
      <c r="G315" s="13"/>
      <c r="H315" s="13"/>
      <c r="T315" s="13"/>
      <c r="U315" s="13"/>
      <c r="V315" s="13"/>
      <c r="W315" s="13"/>
      <c r="X315" s="13"/>
      <c r="Y315" s="10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:35" ht="15.75" customHeight="1" x14ac:dyDescent="0.25">
      <c r="A316" s="10"/>
      <c r="B316" s="13"/>
      <c r="C316" s="13"/>
      <c r="D316" s="13"/>
      <c r="E316" s="13"/>
      <c r="F316" s="13"/>
      <c r="G316" s="13"/>
      <c r="H316" s="13"/>
      <c r="T316" s="13"/>
      <c r="U316" s="13"/>
      <c r="V316" s="13"/>
      <c r="W316" s="13"/>
      <c r="X316" s="13"/>
      <c r="Y316" s="10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:35" ht="15.75" customHeight="1" x14ac:dyDescent="0.25">
      <c r="A317" s="10"/>
      <c r="B317" s="13"/>
      <c r="C317" s="13"/>
      <c r="D317" s="13"/>
      <c r="E317" s="13"/>
      <c r="F317" s="13"/>
      <c r="G317" s="13"/>
      <c r="H317" s="13"/>
      <c r="T317" s="13"/>
      <c r="U317" s="13"/>
      <c r="V317" s="13"/>
      <c r="W317" s="13"/>
      <c r="X317" s="13"/>
      <c r="Y317" s="10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:35" ht="15.75" customHeight="1" x14ac:dyDescent="0.25">
      <c r="A318" s="10"/>
      <c r="B318" s="13"/>
      <c r="C318" s="13"/>
      <c r="D318" s="13"/>
      <c r="E318" s="13"/>
      <c r="F318" s="13"/>
      <c r="G318" s="13"/>
      <c r="H318" s="13"/>
      <c r="T318" s="13"/>
      <c r="U318" s="13"/>
      <c r="V318" s="13"/>
      <c r="W318" s="13"/>
      <c r="X318" s="13"/>
      <c r="Y318" s="10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:35" ht="15.75" customHeight="1" x14ac:dyDescent="0.25">
      <c r="A319" s="10"/>
      <c r="B319" s="13"/>
      <c r="C319" s="13"/>
      <c r="D319" s="13"/>
      <c r="E319" s="13"/>
      <c r="F319" s="13"/>
      <c r="G319" s="13"/>
      <c r="H319" s="13"/>
      <c r="T319" s="13"/>
      <c r="U319" s="13"/>
      <c r="V319" s="13"/>
      <c r="W319" s="13"/>
      <c r="X319" s="13"/>
      <c r="Y319" s="10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:35" ht="15.75" customHeight="1" x14ac:dyDescent="0.25">
      <c r="A320" s="10"/>
      <c r="B320" s="13"/>
      <c r="C320" s="13"/>
      <c r="D320" s="13"/>
      <c r="E320" s="13"/>
      <c r="F320" s="13"/>
      <c r="G320" s="13"/>
      <c r="H320" s="13"/>
      <c r="T320" s="13"/>
      <c r="U320" s="13"/>
      <c r="V320" s="13"/>
      <c r="W320" s="13"/>
      <c r="X320" s="13"/>
      <c r="Y320" s="10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1:35" ht="15.75" customHeight="1" x14ac:dyDescent="0.25">
      <c r="A321" s="10"/>
      <c r="B321" s="13"/>
      <c r="C321" s="13"/>
      <c r="D321" s="13"/>
      <c r="E321" s="13"/>
      <c r="F321" s="13"/>
      <c r="G321" s="13"/>
      <c r="H321" s="13"/>
      <c r="T321" s="13"/>
      <c r="U321" s="13"/>
      <c r="V321" s="13"/>
      <c r="W321" s="13"/>
      <c r="X321" s="13"/>
      <c r="Y321" s="10"/>
      <c r="Z321" s="9"/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1:35" ht="15.75" customHeight="1" x14ac:dyDescent="0.25">
      <c r="A322" s="10"/>
      <c r="B322" s="13"/>
      <c r="C322" s="13"/>
      <c r="D322" s="13"/>
      <c r="E322" s="13"/>
      <c r="F322" s="13"/>
      <c r="G322" s="13"/>
      <c r="H322" s="13"/>
      <c r="T322" s="13"/>
      <c r="U322" s="13"/>
      <c r="V322" s="13"/>
      <c r="W322" s="13"/>
      <c r="X322" s="13"/>
      <c r="Y322" s="10"/>
      <c r="Z322" s="9"/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1:35" ht="15.75" customHeight="1" x14ac:dyDescent="0.25">
      <c r="A323" s="10"/>
      <c r="B323" s="13"/>
      <c r="C323" s="13"/>
      <c r="D323" s="13"/>
      <c r="E323" s="13"/>
      <c r="F323" s="13"/>
      <c r="G323" s="13"/>
      <c r="H323" s="13"/>
      <c r="T323" s="13"/>
      <c r="U323" s="13"/>
      <c r="V323" s="13"/>
      <c r="W323" s="13"/>
      <c r="X323" s="13"/>
      <c r="Y323" s="10"/>
      <c r="Z323" s="9"/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1:35" ht="15.75" customHeight="1" x14ac:dyDescent="0.25">
      <c r="A324" s="10"/>
      <c r="B324" s="13"/>
      <c r="C324" s="13"/>
      <c r="D324" s="13"/>
      <c r="E324" s="13"/>
      <c r="F324" s="13"/>
      <c r="G324" s="13"/>
      <c r="H324" s="13"/>
      <c r="T324" s="13"/>
      <c r="U324" s="13"/>
      <c r="V324" s="13"/>
      <c r="W324" s="13"/>
      <c r="X324" s="13"/>
      <c r="Y324" s="10"/>
      <c r="Z324" s="9"/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1:35" ht="15.75" customHeight="1" x14ac:dyDescent="0.25">
      <c r="A325" s="10"/>
      <c r="B325" s="13"/>
      <c r="C325" s="13"/>
      <c r="D325" s="13"/>
      <c r="E325" s="13"/>
      <c r="F325" s="13"/>
      <c r="G325" s="13"/>
      <c r="H325" s="13"/>
      <c r="T325" s="13"/>
      <c r="U325" s="13"/>
      <c r="V325" s="13"/>
      <c r="W325" s="13"/>
      <c r="X325" s="13"/>
      <c r="Y325" s="10"/>
      <c r="Z325" s="9"/>
      <c r="AA325" s="9"/>
      <c r="AB325" s="9"/>
      <c r="AC325" s="9"/>
      <c r="AD325" s="9"/>
      <c r="AE325" s="9"/>
      <c r="AF325" s="9"/>
      <c r="AG325" s="9"/>
      <c r="AH325" s="9"/>
      <c r="AI325" s="9"/>
    </row>
    <row r="326" spans="1:35" ht="15.75" customHeight="1" x14ac:dyDescent="0.25">
      <c r="A326" s="10"/>
      <c r="B326" s="13"/>
      <c r="C326" s="13"/>
      <c r="D326" s="13"/>
      <c r="E326" s="13"/>
      <c r="F326" s="13"/>
      <c r="G326" s="13"/>
      <c r="H326" s="13"/>
      <c r="T326" s="13"/>
      <c r="U326" s="13"/>
      <c r="V326" s="13"/>
      <c r="W326" s="13"/>
      <c r="X326" s="13"/>
      <c r="Y326" s="10"/>
      <c r="Z326" s="9"/>
      <c r="AA326" s="9"/>
      <c r="AB326" s="9"/>
      <c r="AC326" s="9"/>
      <c r="AD326" s="9"/>
      <c r="AE326" s="9"/>
      <c r="AF326" s="9"/>
      <c r="AG326" s="9"/>
      <c r="AH326" s="9"/>
      <c r="AI326" s="9"/>
    </row>
    <row r="327" spans="1:35" ht="15.75" customHeight="1" x14ac:dyDescent="0.25">
      <c r="A327" s="10"/>
      <c r="B327" s="13"/>
      <c r="C327" s="13"/>
      <c r="D327" s="13"/>
      <c r="E327" s="13"/>
      <c r="F327" s="13"/>
      <c r="G327" s="13"/>
      <c r="H327" s="13"/>
      <c r="T327" s="13"/>
      <c r="U327" s="13"/>
      <c r="V327" s="13"/>
      <c r="W327" s="13"/>
      <c r="X327" s="13"/>
      <c r="Y327" s="10"/>
      <c r="Z327" s="9"/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1:35" ht="15.75" customHeight="1" x14ac:dyDescent="0.25">
      <c r="A328" s="10"/>
      <c r="B328" s="13"/>
      <c r="C328" s="13"/>
      <c r="D328" s="13"/>
      <c r="E328" s="13"/>
      <c r="F328" s="13"/>
      <c r="G328" s="13"/>
      <c r="H328" s="13"/>
      <c r="T328" s="13"/>
      <c r="U328" s="13"/>
      <c r="V328" s="13"/>
      <c r="W328" s="13"/>
      <c r="X328" s="13"/>
      <c r="Y328" s="10"/>
      <c r="Z328" s="9"/>
      <c r="AA328" s="9"/>
      <c r="AB328" s="9"/>
      <c r="AC328" s="9"/>
      <c r="AD328" s="9"/>
      <c r="AE328" s="9"/>
      <c r="AF328" s="9"/>
      <c r="AG328" s="9"/>
      <c r="AH328" s="9"/>
      <c r="AI328" s="9"/>
    </row>
    <row r="329" spans="1:35" ht="15.75" customHeight="1" x14ac:dyDescent="0.25">
      <c r="A329" s="10"/>
      <c r="B329" s="13"/>
      <c r="C329" s="13"/>
      <c r="D329" s="13"/>
      <c r="E329" s="13"/>
      <c r="F329" s="13"/>
      <c r="G329" s="13"/>
      <c r="H329" s="13"/>
      <c r="T329" s="13"/>
      <c r="U329" s="13"/>
      <c r="V329" s="13"/>
      <c r="W329" s="13"/>
      <c r="X329" s="13"/>
      <c r="Y329" s="10"/>
      <c r="Z329" s="9"/>
      <c r="AA329" s="9"/>
      <c r="AB329" s="9"/>
      <c r="AC329" s="9"/>
      <c r="AD329" s="9"/>
      <c r="AE329" s="9"/>
      <c r="AF329" s="9"/>
      <c r="AG329" s="9"/>
      <c r="AH329" s="9"/>
      <c r="AI329" s="9"/>
    </row>
    <row r="330" spans="1:35" ht="15.75" customHeight="1" x14ac:dyDescent="0.25">
      <c r="A330" s="10"/>
      <c r="B330" s="13"/>
      <c r="C330" s="13"/>
      <c r="D330" s="13"/>
      <c r="E330" s="13"/>
      <c r="F330" s="13"/>
      <c r="G330" s="13"/>
      <c r="H330" s="13"/>
      <c r="T330" s="13"/>
      <c r="U330" s="13"/>
      <c r="V330" s="13"/>
      <c r="W330" s="13"/>
      <c r="X330" s="13"/>
      <c r="Y330" s="10"/>
      <c r="Z330" s="9"/>
      <c r="AA330" s="9"/>
      <c r="AB330" s="9"/>
      <c r="AC330" s="9"/>
      <c r="AD330" s="9"/>
      <c r="AE330" s="9"/>
      <c r="AF330" s="9"/>
      <c r="AG330" s="9"/>
      <c r="AH330" s="9"/>
      <c r="AI330" s="9"/>
    </row>
    <row r="331" spans="1:35" ht="15.75" customHeight="1" x14ac:dyDescent="0.25">
      <c r="A331" s="10"/>
      <c r="B331" s="13"/>
      <c r="C331" s="13"/>
      <c r="D331" s="13"/>
      <c r="E331" s="13"/>
      <c r="F331" s="13"/>
      <c r="G331" s="13"/>
      <c r="H331" s="13"/>
      <c r="T331" s="13"/>
      <c r="U331" s="13"/>
      <c r="V331" s="13"/>
      <c r="W331" s="13"/>
      <c r="X331" s="13"/>
      <c r="Y331" s="10"/>
      <c r="Z331" s="9"/>
      <c r="AA331" s="9"/>
      <c r="AB331" s="9"/>
      <c r="AC331" s="9"/>
      <c r="AD331" s="9"/>
      <c r="AE331" s="9"/>
      <c r="AF331" s="9"/>
      <c r="AG331" s="9"/>
      <c r="AH331" s="9"/>
      <c r="AI331" s="9"/>
    </row>
    <row r="332" spans="1:35" ht="15.75" customHeight="1" x14ac:dyDescent="0.25">
      <c r="A332" s="10"/>
      <c r="B332" s="13"/>
      <c r="C332" s="13"/>
      <c r="D332" s="13"/>
      <c r="E332" s="13"/>
      <c r="F332" s="13"/>
      <c r="G332" s="13"/>
      <c r="H332" s="13"/>
      <c r="T332" s="13"/>
      <c r="U332" s="13"/>
      <c r="V332" s="13"/>
      <c r="W332" s="13"/>
      <c r="X332" s="13"/>
      <c r="Y332" s="10"/>
      <c r="Z332" s="9"/>
      <c r="AA332" s="9"/>
      <c r="AB332" s="9"/>
      <c r="AC332" s="9"/>
      <c r="AD332" s="9"/>
      <c r="AE332" s="9"/>
      <c r="AF332" s="9"/>
      <c r="AG332" s="9"/>
      <c r="AH332" s="9"/>
      <c r="AI332" s="9"/>
    </row>
    <row r="333" spans="1:35" ht="15.75" customHeight="1" x14ac:dyDescent="0.25">
      <c r="A333" s="10"/>
      <c r="B333" s="13"/>
      <c r="C333" s="13"/>
      <c r="D333" s="13"/>
      <c r="E333" s="13"/>
      <c r="F333" s="13"/>
      <c r="G333" s="13"/>
      <c r="H333" s="13"/>
      <c r="T333" s="13"/>
      <c r="U333" s="13"/>
      <c r="V333" s="13"/>
      <c r="W333" s="13"/>
      <c r="X333" s="13"/>
      <c r="Y333" s="10"/>
      <c r="Z333" s="9"/>
      <c r="AA333" s="9"/>
      <c r="AB333" s="9"/>
      <c r="AC333" s="9"/>
      <c r="AD333" s="9"/>
      <c r="AE333" s="9"/>
      <c r="AF333" s="9"/>
      <c r="AG333" s="9"/>
      <c r="AH333" s="9"/>
      <c r="AI333" s="9"/>
    </row>
    <row r="334" spans="1:35" ht="15.75" customHeight="1" x14ac:dyDescent="0.25">
      <c r="A334" s="10"/>
      <c r="B334" s="13"/>
      <c r="C334" s="13"/>
      <c r="D334" s="13"/>
      <c r="E334" s="13"/>
      <c r="F334" s="13"/>
      <c r="G334" s="13"/>
      <c r="H334" s="13"/>
      <c r="T334" s="13"/>
      <c r="U334" s="13"/>
      <c r="V334" s="13"/>
      <c r="W334" s="13"/>
      <c r="X334" s="13"/>
      <c r="Y334" s="10"/>
      <c r="Z334" s="9"/>
      <c r="AA334" s="9"/>
      <c r="AB334" s="9"/>
      <c r="AC334" s="9"/>
      <c r="AD334" s="9"/>
      <c r="AE334" s="9"/>
      <c r="AF334" s="9"/>
      <c r="AG334" s="9"/>
      <c r="AH334" s="9"/>
      <c r="AI334" s="9"/>
    </row>
    <row r="335" spans="1:35" ht="15.75" customHeight="1" x14ac:dyDescent="0.25">
      <c r="A335" s="10"/>
      <c r="B335" s="13"/>
      <c r="C335" s="13"/>
      <c r="D335" s="13"/>
      <c r="E335" s="13"/>
      <c r="F335" s="13"/>
      <c r="G335" s="13"/>
      <c r="H335" s="13"/>
      <c r="T335" s="13"/>
      <c r="U335" s="13"/>
      <c r="V335" s="13"/>
      <c r="W335" s="13"/>
      <c r="X335" s="13"/>
      <c r="Y335" s="10"/>
      <c r="Z335" s="9"/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1:35" ht="15.75" customHeight="1" x14ac:dyDescent="0.25">
      <c r="A336" s="10"/>
      <c r="B336" s="13"/>
      <c r="C336" s="13"/>
      <c r="D336" s="13"/>
      <c r="E336" s="13"/>
      <c r="F336" s="13"/>
      <c r="G336" s="13"/>
      <c r="H336" s="13"/>
      <c r="T336" s="13"/>
      <c r="U336" s="13"/>
      <c r="V336" s="13"/>
      <c r="W336" s="13"/>
      <c r="X336" s="13"/>
      <c r="Y336" s="10"/>
      <c r="Z336" s="9"/>
      <c r="AA336" s="9"/>
      <c r="AB336" s="9"/>
      <c r="AC336" s="9"/>
      <c r="AD336" s="9"/>
      <c r="AE336" s="9"/>
      <c r="AF336" s="9"/>
      <c r="AG336" s="9"/>
      <c r="AH336" s="9"/>
      <c r="AI336" s="9"/>
    </row>
    <row r="337" spans="1:35" ht="15.75" customHeight="1" x14ac:dyDescent="0.25">
      <c r="A337" s="10"/>
      <c r="B337" s="13"/>
      <c r="C337" s="13"/>
      <c r="D337" s="13"/>
      <c r="E337" s="13"/>
      <c r="F337" s="13"/>
      <c r="G337" s="13"/>
      <c r="H337" s="13"/>
      <c r="T337" s="13"/>
      <c r="U337" s="13"/>
      <c r="V337" s="13"/>
      <c r="W337" s="13"/>
      <c r="X337" s="13"/>
      <c r="Y337" s="10"/>
      <c r="Z337" s="9"/>
      <c r="AA337" s="9"/>
      <c r="AB337" s="9"/>
      <c r="AC337" s="9"/>
      <c r="AD337" s="9"/>
      <c r="AE337" s="9"/>
      <c r="AF337" s="9"/>
      <c r="AG337" s="9"/>
      <c r="AH337" s="9"/>
      <c r="AI337" s="9"/>
    </row>
    <row r="338" spans="1:35" ht="15.75" customHeight="1" x14ac:dyDescent="0.25">
      <c r="A338" s="10"/>
      <c r="B338" s="13"/>
      <c r="C338" s="13"/>
      <c r="D338" s="13"/>
      <c r="E338" s="13"/>
      <c r="F338" s="13"/>
      <c r="G338" s="13"/>
      <c r="H338" s="13"/>
      <c r="T338" s="13"/>
      <c r="U338" s="13"/>
      <c r="V338" s="13"/>
      <c r="W338" s="13"/>
      <c r="X338" s="13"/>
      <c r="Y338" s="10"/>
      <c r="Z338" s="9"/>
      <c r="AA338" s="9"/>
      <c r="AB338" s="9"/>
      <c r="AC338" s="9"/>
      <c r="AD338" s="9"/>
      <c r="AE338" s="9"/>
      <c r="AF338" s="9"/>
      <c r="AG338" s="9"/>
      <c r="AH338" s="9"/>
      <c r="AI338" s="9"/>
    </row>
    <row r="339" spans="1:35" ht="15.75" customHeight="1" x14ac:dyDescent="0.25">
      <c r="A339" s="10"/>
      <c r="B339" s="13"/>
      <c r="C339" s="13"/>
      <c r="D339" s="13"/>
      <c r="E339" s="13"/>
      <c r="F339" s="13"/>
      <c r="G339" s="13"/>
      <c r="H339" s="13"/>
      <c r="T339" s="13"/>
      <c r="U339" s="13"/>
      <c r="V339" s="13"/>
      <c r="W339" s="13"/>
      <c r="X339" s="13"/>
      <c r="Y339" s="10"/>
      <c r="Z339" s="9"/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1:35" ht="15.75" customHeight="1" x14ac:dyDescent="0.25">
      <c r="A340" s="10"/>
      <c r="B340" s="13"/>
      <c r="C340" s="13"/>
      <c r="D340" s="13"/>
      <c r="E340" s="13"/>
      <c r="F340" s="13"/>
      <c r="G340" s="13"/>
      <c r="H340" s="13"/>
      <c r="T340" s="13"/>
      <c r="U340" s="13"/>
      <c r="V340" s="13"/>
      <c r="W340" s="13"/>
      <c r="X340" s="13"/>
      <c r="Y340" s="10"/>
      <c r="Z340" s="9"/>
      <c r="AA340" s="9"/>
      <c r="AB340" s="9"/>
      <c r="AC340" s="9"/>
      <c r="AD340" s="9"/>
      <c r="AE340" s="9"/>
      <c r="AF340" s="9"/>
      <c r="AG340" s="9"/>
      <c r="AH340" s="9"/>
      <c r="AI340" s="9"/>
    </row>
    <row r="341" spans="1:35" ht="15.75" customHeight="1" x14ac:dyDescent="0.25">
      <c r="A341" s="10"/>
      <c r="B341" s="13"/>
      <c r="C341" s="13"/>
      <c r="D341" s="13"/>
      <c r="E341" s="13"/>
      <c r="F341" s="13"/>
      <c r="G341" s="13"/>
      <c r="H341" s="13"/>
      <c r="T341" s="13"/>
      <c r="U341" s="13"/>
      <c r="V341" s="13"/>
      <c r="W341" s="13"/>
      <c r="X341" s="13"/>
      <c r="Y341" s="10"/>
      <c r="Z341" s="9"/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1:35" ht="15.75" customHeight="1" x14ac:dyDescent="0.25">
      <c r="A342" s="10"/>
      <c r="B342" s="13"/>
      <c r="C342" s="13"/>
      <c r="D342" s="13"/>
      <c r="E342" s="13"/>
      <c r="F342" s="13"/>
      <c r="G342" s="13"/>
      <c r="H342" s="13"/>
      <c r="T342" s="13"/>
      <c r="U342" s="13"/>
      <c r="V342" s="13"/>
      <c r="W342" s="13"/>
      <c r="X342" s="13"/>
      <c r="Y342" s="10"/>
      <c r="Z342" s="9"/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1:35" ht="15.75" customHeight="1" x14ac:dyDescent="0.25">
      <c r="A343" s="10"/>
      <c r="B343" s="13"/>
      <c r="C343" s="13"/>
      <c r="D343" s="13"/>
      <c r="E343" s="13"/>
      <c r="F343" s="13"/>
      <c r="G343" s="13"/>
      <c r="H343" s="13"/>
      <c r="T343" s="13"/>
      <c r="U343" s="13"/>
      <c r="V343" s="13"/>
      <c r="W343" s="13"/>
      <c r="X343" s="13"/>
      <c r="Y343" s="10"/>
      <c r="Z343" s="9"/>
      <c r="AA343" s="9"/>
      <c r="AB343" s="9"/>
      <c r="AC343" s="9"/>
      <c r="AD343" s="9"/>
      <c r="AE343" s="9"/>
      <c r="AF343" s="9"/>
      <c r="AG343" s="9"/>
      <c r="AH343" s="9"/>
      <c r="AI343" s="9"/>
    </row>
    <row r="344" spans="1:35" ht="15.75" customHeight="1" x14ac:dyDescent="0.25">
      <c r="A344" s="10"/>
      <c r="B344" s="13"/>
      <c r="C344" s="13"/>
      <c r="D344" s="13"/>
      <c r="E344" s="13"/>
      <c r="F344" s="13"/>
      <c r="G344" s="13"/>
      <c r="H344" s="13"/>
      <c r="T344" s="13"/>
      <c r="U344" s="13"/>
      <c r="V344" s="13"/>
      <c r="W344" s="13"/>
      <c r="X344" s="13"/>
      <c r="Y344" s="10"/>
      <c r="Z344" s="9"/>
      <c r="AA344" s="9"/>
      <c r="AB344" s="9"/>
      <c r="AC344" s="9"/>
      <c r="AD344" s="9"/>
      <c r="AE344" s="9"/>
      <c r="AF344" s="9"/>
      <c r="AG344" s="9"/>
      <c r="AH344" s="9"/>
      <c r="AI344" s="9"/>
    </row>
    <row r="345" spans="1:35" ht="15.75" customHeight="1" x14ac:dyDescent="0.25">
      <c r="A345" s="10"/>
      <c r="B345" s="13"/>
      <c r="C345" s="13"/>
      <c r="D345" s="13"/>
      <c r="E345" s="13"/>
      <c r="F345" s="13"/>
      <c r="G345" s="13"/>
      <c r="H345" s="13"/>
      <c r="T345" s="13"/>
      <c r="U345" s="13"/>
      <c r="V345" s="13"/>
      <c r="W345" s="13"/>
      <c r="X345" s="13"/>
      <c r="Y345" s="10"/>
      <c r="Z345" s="9"/>
      <c r="AA345" s="9"/>
      <c r="AB345" s="9"/>
      <c r="AC345" s="9"/>
      <c r="AD345" s="9"/>
      <c r="AE345" s="9"/>
      <c r="AF345" s="9"/>
      <c r="AG345" s="9"/>
      <c r="AH345" s="9"/>
      <c r="AI345" s="9"/>
    </row>
    <row r="346" spans="1:35" ht="15.75" customHeight="1" x14ac:dyDescent="0.25">
      <c r="A346" s="10"/>
      <c r="B346" s="13"/>
      <c r="C346" s="13"/>
      <c r="D346" s="13"/>
      <c r="E346" s="13"/>
      <c r="F346" s="13"/>
      <c r="G346" s="13"/>
      <c r="H346" s="13"/>
      <c r="T346" s="13"/>
      <c r="U346" s="13"/>
      <c r="V346" s="13"/>
      <c r="W346" s="13"/>
      <c r="X346" s="13"/>
      <c r="Y346" s="10"/>
      <c r="Z346" s="9"/>
      <c r="AA346" s="9"/>
      <c r="AB346" s="9"/>
      <c r="AC346" s="9"/>
      <c r="AD346" s="9"/>
      <c r="AE346" s="9"/>
      <c r="AF346" s="9"/>
      <c r="AG346" s="9"/>
      <c r="AH346" s="9"/>
      <c r="AI346" s="9"/>
    </row>
    <row r="347" spans="1:35" ht="15.75" customHeight="1" x14ac:dyDescent="0.25">
      <c r="A347" s="10"/>
      <c r="B347" s="13"/>
      <c r="C347" s="13"/>
      <c r="D347" s="13"/>
      <c r="E347" s="13"/>
      <c r="F347" s="13"/>
      <c r="G347" s="13"/>
      <c r="H347" s="13"/>
      <c r="T347" s="13"/>
      <c r="U347" s="13"/>
      <c r="V347" s="13"/>
      <c r="W347" s="13"/>
      <c r="X347" s="13"/>
      <c r="Y347" s="10"/>
      <c r="Z347" s="9"/>
      <c r="AA347" s="9"/>
      <c r="AB347" s="9"/>
      <c r="AC347" s="9"/>
      <c r="AD347" s="9"/>
      <c r="AE347" s="9"/>
      <c r="AF347" s="9"/>
      <c r="AG347" s="9"/>
      <c r="AH347" s="9"/>
      <c r="AI347" s="9"/>
    </row>
    <row r="348" spans="1:35" ht="15.75" customHeight="1" x14ac:dyDescent="0.25">
      <c r="A348" s="10"/>
      <c r="B348" s="13"/>
      <c r="C348" s="13"/>
      <c r="D348" s="13"/>
      <c r="E348" s="13"/>
      <c r="F348" s="13"/>
      <c r="G348" s="13"/>
      <c r="H348" s="13"/>
      <c r="T348" s="13"/>
      <c r="U348" s="13"/>
      <c r="V348" s="13"/>
      <c r="W348" s="13"/>
      <c r="X348" s="13"/>
      <c r="Y348" s="10"/>
      <c r="Z348" s="9"/>
      <c r="AA348" s="9"/>
      <c r="AB348" s="9"/>
      <c r="AC348" s="9"/>
      <c r="AD348" s="9"/>
      <c r="AE348" s="9"/>
      <c r="AF348" s="9"/>
      <c r="AG348" s="9"/>
      <c r="AH348" s="9"/>
      <c r="AI348" s="9"/>
    </row>
    <row r="349" spans="1:35" ht="15.75" customHeight="1" x14ac:dyDescent="0.25">
      <c r="A349" s="10"/>
      <c r="B349" s="13"/>
      <c r="C349" s="13"/>
      <c r="D349" s="13"/>
      <c r="E349" s="13"/>
      <c r="F349" s="13"/>
      <c r="G349" s="13"/>
      <c r="H349" s="13"/>
      <c r="T349" s="13"/>
      <c r="U349" s="13"/>
      <c r="V349" s="13"/>
      <c r="W349" s="13"/>
      <c r="X349" s="13"/>
      <c r="Y349" s="10"/>
      <c r="Z349" s="9"/>
      <c r="AA349" s="9"/>
      <c r="AB349" s="9"/>
      <c r="AC349" s="9"/>
      <c r="AD349" s="9"/>
      <c r="AE349" s="9"/>
      <c r="AF349" s="9"/>
      <c r="AG349" s="9"/>
      <c r="AH349" s="9"/>
      <c r="AI349" s="9"/>
    </row>
    <row r="350" spans="1:35" ht="15.75" customHeight="1" x14ac:dyDescent="0.25">
      <c r="A350" s="10"/>
      <c r="B350" s="13"/>
      <c r="C350" s="13"/>
      <c r="D350" s="13"/>
      <c r="E350" s="13"/>
      <c r="F350" s="13"/>
      <c r="G350" s="13"/>
      <c r="H350" s="13"/>
      <c r="T350" s="13"/>
      <c r="U350" s="13"/>
      <c r="V350" s="13"/>
      <c r="W350" s="13"/>
      <c r="X350" s="13"/>
      <c r="Y350" s="10"/>
      <c r="Z350" s="9"/>
      <c r="AA350" s="9"/>
      <c r="AB350" s="9"/>
      <c r="AC350" s="9"/>
      <c r="AD350" s="9"/>
      <c r="AE350" s="9"/>
      <c r="AF350" s="9"/>
      <c r="AG350" s="9"/>
      <c r="AH350" s="9"/>
      <c r="AI350" s="9"/>
    </row>
    <row r="351" spans="1:35" ht="15.75" customHeight="1" x14ac:dyDescent="0.25">
      <c r="A351" s="10"/>
      <c r="B351" s="13"/>
      <c r="C351" s="13"/>
      <c r="D351" s="13"/>
      <c r="E351" s="13"/>
      <c r="F351" s="13"/>
      <c r="G351" s="13"/>
      <c r="H351" s="13"/>
      <c r="T351" s="13"/>
      <c r="U351" s="13"/>
      <c r="V351" s="13"/>
      <c r="W351" s="13"/>
      <c r="X351" s="13"/>
      <c r="Y351" s="10"/>
      <c r="Z351" s="9"/>
      <c r="AA351" s="9"/>
      <c r="AB351" s="9"/>
      <c r="AC351" s="9"/>
      <c r="AD351" s="9"/>
      <c r="AE351" s="9"/>
      <c r="AF351" s="9"/>
      <c r="AG351" s="9"/>
      <c r="AH351" s="9"/>
      <c r="AI351" s="9"/>
    </row>
    <row r="352" spans="1:35" ht="15.75" customHeight="1" x14ac:dyDescent="0.25">
      <c r="A352" s="10"/>
      <c r="B352" s="13"/>
      <c r="C352" s="13"/>
      <c r="D352" s="13"/>
      <c r="E352" s="13"/>
      <c r="F352" s="13"/>
      <c r="G352" s="13"/>
      <c r="H352" s="13"/>
      <c r="T352" s="13"/>
      <c r="U352" s="13"/>
      <c r="V352" s="13"/>
      <c r="W352" s="13"/>
      <c r="X352" s="13"/>
      <c r="Y352" s="10"/>
      <c r="Z352" s="9"/>
      <c r="AA352" s="9"/>
      <c r="AB352" s="9"/>
      <c r="AC352" s="9"/>
      <c r="AD352" s="9"/>
      <c r="AE352" s="9"/>
      <c r="AF352" s="9"/>
      <c r="AG352" s="9"/>
      <c r="AH352" s="9"/>
      <c r="AI352" s="9"/>
    </row>
    <row r="353" spans="1:35" ht="15.75" customHeight="1" x14ac:dyDescent="0.25">
      <c r="A353" s="10"/>
      <c r="B353" s="13"/>
      <c r="C353" s="13"/>
      <c r="D353" s="13"/>
      <c r="E353" s="13"/>
      <c r="F353" s="13"/>
      <c r="G353" s="13"/>
      <c r="H353" s="13"/>
      <c r="T353" s="13"/>
      <c r="U353" s="13"/>
      <c r="V353" s="13"/>
      <c r="W353" s="13"/>
      <c r="X353" s="13"/>
      <c r="Y353" s="10"/>
      <c r="Z353" s="9"/>
      <c r="AA353" s="9"/>
      <c r="AB353" s="9"/>
      <c r="AC353" s="9"/>
      <c r="AD353" s="9"/>
      <c r="AE353" s="9"/>
      <c r="AF353" s="9"/>
      <c r="AG353" s="9"/>
      <c r="AH353" s="9"/>
      <c r="AI353" s="9"/>
    </row>
    <row r="354" spans="1:35" ht="15.75" customHeight="1" x14ac:dyDescent="0.25">
      <c r="A354" s="10"/>
      <c r="B354" s="13"/>
      <c r="C354" s="13"/>
      <c r="D354" s="13"/>
      <c r="E354" s="13"/>
      <c r="F354" s="13"/>
      <c r="G354" s="13"/>
      <c r="H354" s="13"/>
      <c r="T354" s="13"/>
      <c r="U354" s="13"/>
      <c r="V354" s="13"/>
      <c r="W354" s="13"/>
      <c r="X354" s="13"/>
      <c r="Y354" s="10"/>
      <c r="Z354" s="9"/>
      <c r="AA354" s="9"/>
      <c r="AB354" s="9"/>
      <c r="AC354" s="9"/>
      <c r="AD354" s="9"/>
      <c r="AE354" s="9"/>
      <c r="AF354" s="9"/>
      <c r="AG354" s="9"/>
      <c r="AH354" s="9"/>
      <c r="AI354" s="9"/>
    </row>
    <row r="355" spans="1:35" ht="15.75" customHeight="1" x14ac:dyDescent="0.25">
      <c r="A355" s="10"/>
      <c r="B355" s="13"/>
      <c r="C355" s="13"/>
      <c r="D355" s="13"/>
      <c r="E355" s="13"/>
      <c r="F355" s="13"/>
      <c r="G355" s="13"/>
      <c r="H355" s="13"/>
      <c r="T355" s="13"/>
      <c r="U355" s="13"/>
      <c r="V355" s="13"/>
      <c r="W355" s="13"/>
      <c r="X355" s="13"/>
      <c r="Y355" s="10"/>
      <c r="Z355" s="9"/>
      <c r="AA355" s="9"/>
      <c r="AB355" s="9"/>
      <c r="AC355" s="9"/>
      <c r="AD355" s="9"/>
      <c r="AE355" s="9"/>
      <c r="AF355" s="9"/>
      <c r="AG355" s="9"/>
      <c r="AH355" s="9"/>
      <c r="AI355" s="9"/>
    </row>
    <row r="356" spans="1:35" ht="15.75" customHeight="1" x14ac:dyDescent="0.25">
      <c r="A356" s="10"/>
      <c r="B356" s="13"/>
      <c r="C356" s="13"/>
      <c r="D356" s="13"/>
      <c r="E356" s="13"/>
      <c r="F356" s="13"/>
      <c r="G356" s="13"/>
      <c r="H356" s="13"/>
      <c r="T356" s="13"/>
      <c r="U356" s="13"/>
      <c r="V356" s="13"/>
      <c r="W356" s="13"/>
      <c r="X356" s="13"/>
      <c r="Y356" s="10"/>
      <c r="Z356" s="9"/>
      <c r="AA356" s="9"/>
      <c r="AB356" s="9"/>
      <c r="AC356" s="9"/>
      <c r="AD356" s="9"/>
      <c r="AE356" s="9"/>
      <c r="AF356" s="9"/>
      <c r="AG356" s="9"/>
      <c r="AH356" s="9"/>
      <c r="AI356" s="9"/>
    </row>
    <row r="357" spans="1:35" ht="15.75" customHeight="1" x14ac:dyDescent="0.25">
      <c r="A357" s="10"/>
      <c r="B357" s="13"/>
      <c r="C357" s="13"/>
      <c r="D357" s="13"/>
      <c r="E357" s="13"/>
      <c r="F357" s="13"/>
      <c r="G357" s="13"/>
      <c r="H357" s="13"/>
      <c r="T357" s="13"/>
      <c r="U357" s="13"/>
      <c r="V357" s="13"/>
      <c r="W357" s="13"/>
      <c r="X357" s="13"/>
      <c r="Y357" s="10"/>
      <c r="Z357" s="9"/>
      <c r="AA357" s="9"/>
      <c r="AB357" s="9"/>
      <c r="AC357" s="9"/>
      <c r="AD357" s="9"/>
      <c r="AE357" s="9"/>
      <c r="AF357" s="9"/>
      <c r="AG357" s="9"/>
      <c r="AH357" s="9"/>
      <c r="AI357" s="9"/>
    </row>
    <row r="358" spans="1:35" ht="15.75" customHeight="1" x14ac:dyDescent="0.25">
      <c r="A358" s="10"/>
      <c r="B358" s="13"/>
      <c r="C358" s="13"/>
      <c r="D358" s="13"/>
      <c r="E358" s="13"/>
      <c r="F358" s="13"/>
      <c r="G358" s="13"/>
      <c r="H358" s="13"/>
      <c r="T358" s="13"/>
      <c r="U358" s="13"/>
      <c r="V358" s="13"/>
      <c r="W358" s="13"/>
      <c r="X358" s="13"/>
      <c r="Y358" s="10"/>
      <c r="Z358" s="9"/>
      <c r="AA358" s="9"/>
      <c r="AB358" s="9"/>
      <c r="AC358" s="9"/>
      <c r="AD358" s="9"/>
      <c r="AE358" s="9"/>
      <c r="AF358" s="9"/>
      <c r="AG358" s="9"/>
      <c r="AH358" s="9"/>
      <c r="AI358" s="9"/>
    </row>
    <row r="359" spans="1:35" ht="15.75" customHeight="1" x14ac:dyDescent="0.25">
      <c r="A359" s="10"/>
      <c r="B359" s="13"/>
      <c r="C359" s="13"/>
      <c r="D359" s="13"/>
      <c r="E359" s="13"/>
      <c r="F359" s="13"/>
      <c r="G359" s="13"/>
      <c r="H359" s="13"/>
      <c r="T359" s="13"/>
      <c r="U359" s="13"/>
      <c r="V359" s="13"/>
      <c r="W359" s="13"/>
      <c r="X359" s="13"/>
      <c r="Y359" s="10"/>
      <c r="Z359" s="9"/>
      <c r="AA359" s="9"/>
      <c r="AB359" s="9"/>
      <c r="AC359" s="9"/>
      <c r="AD359" s="9"/>
      <c r="AE359" s="9"/>
      <c r="AF359" s="9"/>
      <c r="AG359" s="9"/>
      <c r="AH359" s="9"/>
      <c r="AI359" s="9"/>
    </row>
    <row r="360" spans="1:35" ht="15.75" customHeight="1" x14ac:dyDescent="0.25">
      <c r="A360" s="10"/>
      <c r="B360" s="13"/>
      <c r="C360" s="13"/>
      <c r="D360" s="13"/>
      <c r="E360" s="13"/>
      <c r="F360" s="13"/>
      <c r="G360" s="13"/>
      <c r="H360" s="13"/>
      <c r="T360" s="13"/>
      <c r="U360" s="13"/>
      <c r="V360" s="13"/>
      <c r="W360" s="13"/>
      <c r="X360" s="13"/>
      <c r="Y360" s="10"/>
      <c r="Z360" s="9"/>
      <c r="AA360" s="9"/>
      <c r="AB360" s="9"/>
      <c r="AC360" s="9"/>
      <c r="AD360" s="9"/>
      <c r="AE360" s="9"/>
      <c r="AF360" s="9"/>
      <c r="AG360" s="9"/>
      <c r="AH360" s="9"/>
      <c r="AI360" s="9"/>
    </row>
    <row r="361" spans="1:35" ht="15.75" customHeight="1" x14ac:dyDescent="0.25">
      <c r="A361" s="10"/>
      <c r="B361" s="13"/>
      <c r="C361" s="13"/>
      <c r="D361" s="13"/>
      <c r="E361" s="13"/>
      <c r="F361" s="13"/>
      <c r="G361" s="13"/>
      <c r="H361" s="13"/>
      <c r="T361" s="13"/>
      <c r="U361" s="13"/>
      <c r="V361" s="13"/>
      <c r="W361" s="13"/>
      <c r="X361" s="13"/>
      <c r="Y361" s="10"/>
      <c r="Z361" s="9"/>
      <c r="AA361" s="9"/>
      <c r="AB361" s="9"/>
      <c r="AC361" s="9"/>
      <c r="AD361" s="9"/>
      <c r="AE361" s="9"/>
      <c r="AF361" s="9"/>
      <c r="AG361" s="9"/>
      <c r="AH361" s="9"/>
      <c r="AI361" s="9"/>
    </row>
    <row r="362" spans="1:35" ht="15.75" customHeight="1" x14ac:dyDescent="0.25">
      <c r="A362" s="10"/>
      <c r="B362" s="13"/>
      <c r="C362" s="13"/>
      <c r="D362" s="13"/>
      <c r="E362" s="13"/>
      <c r="F362" s="13"/>
      <c r="G362" s="13"/>
      <c r="H362" s="13"/>
      <c r="T362" s="13"/>
      <c r="U362" s="13"/>
      <c r="V362" s="13"/>
      <c r="W362" s="13"/>
      <c r="X362" s="13"/>
      <c r="Y362" s="10"/>
      <c r="Z362" s="9"/>
      <c r="AA362" s="9"/>
      <c r="AB362" s="9"/>
      <c r="AC362" s="9"/>
      <c r="AD362" s="9"/>
      <c r="AE362" s="9"/>
      <c r="AF362" s="9"/>
      <c r="AG362" s="9"/>
      <c r="AH362" s="9"/>
      <c r="AI362" s="9"/>
    </row>
    <row r="363" spans="1:35" ht="15.75" customHeight="1" x14ac:dyDescent="0.25">
      <c r="A363" s="10"/>
      <c r="B363" s="13"/>
      <c r="C363" s="13"/>
      <c r="D363" s="13"/>
      <c r="E363" s="13"/>
      <c r="F363" s="13"/>
      <c r="G363" s="13"/>
      <c r="H363" s="13"/>
      <c r="T363" s="13"/>
      <c r="U363" s="13"/>
      <c r="V363" s="13"/>
      <c r="W363" s="13"/>
      <c r="X363" s="13"/>
      <c r="Y363" s="10"/>
      <c r="Z363" s="9"/>
      <c r="AA363" s="9"/>
      <c r="AB363" s="9"/>
      <c r="AC363" s="9"/>
      <c r="AD363" s="9"/>
      <c r="AE363" s="9"/>
      <c r="AF363" s="9"/>
      <c r="AG363" s="9"/>
      <c r="AH363" s="9"/>
      <c r="AI363" s="9"/>
    </row>
    <row r="364" spans="1:35" ht="15.75" customHeight="1" x14ac:dyDescent="0.25">
      <c r="A364" s="10"/>
      <c r="B364" s="13"/>
      <c r="C364" s="13"/>
      <c r="D364" s="13"/>
      <c r="E364" s="13"/>
      <c r="F364" s="13"/>
      <c r="G364" s="13"/>
      <c r="H364" s="13"/>
      <c r="T364" s="13"/>
      <c r="U364" s="13"/>
      <c r="V364" s="13"/>
      <c r="W364" s="13"/>
      <c r="X364" s="13"/>
      <c r="Y364" s="10"/>
      <c r="Z364" s="9"/>
      <c r="AA364" s="9"/>
      <c r="AB364" s="9"/>
      <c r="AC364" s="9"/>
      <c r="AD364" s="9"/>
      <c r="AE364" s="9"/>
      <c r="AF364" s="9"/>
      <c r="AG364" s="9"/>
      <c r="AH364" s="9"/>
      <c r="AI364" s="9"/>
    </row>
    <row r="365" spans="1:35" ht="15.75" customHeight="1" x14ac:dyDescent="0.25">
      <c r="A365" s="10"/>
      <c r="B365" s="13"/>
      <c r="C365" s="13"/>
      <c r="D365" s="13"/>
      <c r="E365" s="13"/>
      <c r="F365" s="13"/>
      <c r="G365" s="13"/>
      <c r="H365" s="13"/>
      <c r="T365" s="13"/>
      <c r="U365" s="13"/>
      <c r="V365" s="13"/>
      <c r="W365" s="13"/>
      <c r="X365" s="13"/>
      <c r="Y365" s="10"/>
      <c r="Z365" s="9"/>
      <c r="AA365" s="9"/>
      <c r="AB365" s="9"/>
      <c r="AC365" s="9"/>
      <c r="AD365" s="9"/>
      <c r="AE365" s="9"/>
      <c r="AF365" s="9"/>
      <c r="AG365" s="9"/>
      <c r="AH365" s="9"/>
      <c r="AI365" s="9"/>
    </row>
    <row r="366" spans="1:35" ht="15.75" customHeight="1" x14ac:dyDescent="0.25">
      <c r="A366" s="10"/>
      <c r="B366" s="13"/>
      <c r="C366" s="13"/>
      <c r="D366" s="13"/>
      <c r="E366" s="13"/>
      <c r="F366" s="13"/>
      <c r="G366" s="13"/>
      <c r="H366" s="13"/>
      <c r="T366" s="13"/>
      <c r="U366" s="13"/>
      <c r="V366" s="13"/>
      <c r="W366" s="13"/>
      <c r="X366" s="13"/>
      <c r="Y366" s="10"/>
      <c r="Z366" s="9"/>
      <c r="AA366" s="9"/>
      <c r="AB366" s="9"/>
      <c r="AC366" s="9"/>
      <c r="AD366" s="9"/>
      <c r="AE366" s="9"/>
      <c r="AF366" s="9"/>
      <c r="AG366" s="9"/>
      <c r="AH366" s="9"/>
      <c r="AI366" s="9"/>
    </row>
    <row r="367" spans="1:35" ht="15.75" customHeight="1" x14ac:dyDescent="0.25">
      <c r="A367" s="10"/>
      <c r="B367" s="13"/>
      <c r="C367" s="13"/>
      <c r="D367" s="13"/>
      <c r="E367" s="13"/>
      <c r="F367" s="13"/>
      <c r="G367" s="13"/>
      <c r="H367" s="13"/>
      <c r="T367" s="13"/>
      <c r="U367" s="13"/>
      <c r="V367" s="13"/>
      <c r="W367" s="13"/>
      <c r="X367" s="13"/>
      <c r="Y367" s="10"/>
      <c r="Z367" s="9"/>
      <c r="AA367" s="9"/>
      <c r="AB367" s="9"/>
      <c r="AC367" s="9"/>
      <c r="AD367" s="9"/>
      <c r="AE367" s="9"/>
      <c r="AF367" s="9"/>
      <c r="AG367" s="9"/>
      <c r="AH367" s="9"/>
      <c r="AI367" s="9"/>
    </row>
    <row r="368" spans="1:35" ht="15.75" customHeight="1" x14ac:dyDescent="0.25">
      <c r="A368" s="10"/>
      <c r="B368" s="13"/>
      <c r="C368" s="13"/>
      <c r="D368" s="13"/>
      <c r="E368" s="13"/>
      <c r="F368" s="13"/>
      <c r="G368" s="13"/>
      <c r="H368" s="13"/>
      <c r="T368" s="13"/>
      <c r="U368" s="13"/>
      <c r="V368" s="13"/>
      <c r="W368" s="13"/>
      <c r="X368" s="13"/>
      <c r="Y368" s="10"/>
      <c r="Z368" s="9"/>
      <c r="AA368" s="9"/>
      <c r="AB368" s="9"/>
      <c r="AC368" s="9"/>
      <c r="AD368" s="9"/>
      <c r="AE368" s="9"/>
      <c r="AF368" s="9"/>
      <c r="AG368" s="9"/>
      <c r="AH368" s="9"/>
      <c r="AI368" s="9"/>
    </row>
    <row r="369" spans="1:35" ht="15.75" customHeight="1" x14ac:dyDescent="0.25">
      <c r="A369" s="10"/>
      <c r="B369" s="13"/>
      <c r="C369" s="13"/>
      <c r="D369" s="13"/>
      <c r="E369" s="13"/>
      <c r="F369" s="13"/>
      <c r="G369" s="13"/>
      <c r="H369" s="13"/>
      <c r="T369" s="13"/>
      <c r="U369" s="13"/>
      <c r="V369" s="13"/>
      <c r="W369" s="13"/>
      <c r="X369" s="13"/>
      <c r="Y369" s="10"/>
      <c r="Z369" s="9"/>
      <c r="AA369" s="9"/>
      <c r="AB369" s="9"/>
      <c r="AC369" s="9"/>
      <c r="AD369" s="9"/>
      <c r="AE369" s="9"/>
      <c r="AF369" s="9"/>
      <c r="AG369" s="9"/>
      <c r="AH369" s="9"/>
      <c r="AI369" s="9"/>
    </row>
    <row r="370" spans="1:35" ht="15.75" customHeight="1" x14ac:dyDescent="0.25">
      <c r="A370" s="10"/>
      <c r="B370" s="13"/>
      <c r="C370" s="13"/>
      <c r="D370" s="13"/>
      <c r="E370" s="13"/>
      <c r="F370" s="13"/>
      <c r="G370" s="13"/>
      <c r="H370" s="13"/>
      <c r="T370" s="13"/>
      <c r="U370" s="13"/>
      <c r="V370" s="13"/>
      <c r="W370" s="13"/>
      <c r="X370" s="13"/>
      <c r="Y370" s="10"/>
      <c r="Z370" s="9"/>
      <c r="AA370" s="9"/>
      <c r="AB370" s="9"/>
      <c r="AC370" s="9"/>
      <c r="AD370" s="9"/>
      <c r="AE370" s="9"/>
      <c r="AF370" s="9"/>
      <c r="AG370" s="9"/>
      <c r="AH370" s="9"/>
      <c r="AI370" s="9"/>
    </row>
    <row r="371" spans="1:35" ht="15.75" customHeight="1" x14ac:dyDescent="0.25">
      <c r="A371" s="10"/>
      <c r="B371" s="13"/>
      <c r="C371" s="13"/>
      <c r="D371" s="13"/>
      <c r="E371" s="13"/>
      <c r="F371" s="13"/>
      <c r="G371" s="13"/>
      <c r="H371" s="13"/>
      <c r="T371" s="13"/>
      <c r="U371" s="13"/>
      <c r="V371" s="13"/>
      <c r="W371" s="13"/>
      <c r="X371" s="13"/>
      <c r="Y371" s="10"/>
      <c r="Z371" s="9"/>
      <c r="AA371" s="9"/>
      <c r="AB371" s="9"/>
      <c r="AC371" s="9"/>
      <c r="AD371" s="9"/>
      <c r="AE371" s="9"/>
      <c r="AF371" s="9"/>
      <c r="AG371" s="9"/>
      <c r="AH371" s="9"/>
      <c r="AI371" s="9"/>
    </row>
    <row r="372" spans="1:35" ht="15.75" customHeight="1" x14ac:dyDescent="0.25">
      <c r="A372" s="10"/>
      <c r="B372" s="13"/>
      <c r="C372" s="13"/>
      <c r="D372" s="13"/>
      <c r="E372" s="13"/>
      <c r="F372" s="13"/>
      <c r="G372" s="13"/>
      <c r="H372" s="13"/>
      <c r="T372" s="13"/>
      <c r="U372" s="13"/>
      <c r="V372" s="13"/>
      <c r="W372" s="13"/>
      <c r="X372" s="13"/>
      <c r="Y372" s="10"/>
      <c r="Z372" s="9"/>
      <c r="AA372" s="9"/>
      <c r="AB372" s="9"/>
      <c r="AC372" s="9"/>
      <c r="AD372" s="9"/>
      <c r="AE372" s="9"/>
      <c r="AF372" s="9"/>
      <c r="AG372" s="9"/>
      <c r="AH372" s="9"/>
      <c r="AI372" s="9"/>
    </row>
    <row r="373" spans="1:35" ht="15.75" customHeight="1" x14ac:dyDescent="0.25">
      <c r="A373" s="10"/>
      <c r="B373" s="13"/>
      <c r="C373" s="13"/>
      <c r="D373" s="13"/>
      <c r="E373" s="13"/>
      <c r="F373" s="13"/>
      <c r="G373" s="13"/>
      <c r="H373" s="13"/>
      <c r="T373" s="13"/>
      <c r="U373" s="13"/>
      <c r="V373" s="13"/>
      <c r="W373" s="13"/>
      <c r="X373" s="13"/>
      <c r="Y373" s="10"/>
      <c r="Z373" s="9"/>
      <c r="AA373" s="9"/>
      <c r="AB373" s="9"/>
      <c r="AC373" s="9"/>
      <c r="AD373" s="9"/>
      <c r="AE373" s="9"/>
      <c r="AF373" s="9"/>
      <c r="AG373" s="9"/>
      <c r="AH373" s="9"/>
      <c r="AI373" s="9"/>
    </row>
    <row r="374" spans="1:35" ht="15.75" customHeight="1" x14ac:dyDescent="0.25">
      <c r="A374" s="10"/>
      <c r="B374" s="13"/>
      <c r="C374" s="13"/>
      <c r="D374" s="13"/>
      <c r="E374" s="13"/>
      <c r="F374" s="13"/>
      <c r="G374" s="13"/>
      <c r="H374" s="13"/>
      <c r="T374" s="13"/>
      <c r="U374" s="13"/>
      <c r="V374" s="13"/>
      <c r="W374" s="13"/>
      <c r="X374" s="13"/>
      <c r="Y374" s="10"/>
      <c r="Z374" s="9"/>
      <c r="AA374" s="9"/>
      <c r="AB374" s="9"/>
      <c r="AC374" s="9"/>
      <c r="AD374" s="9"/>
      <c r="AE374" s="9"/>
      <c r="AF374" s="9"/>
      <c r="AG374" s="9"/>
      <c r="AH374" s="9"/>
      <c r="AI374" s="9"/>
    </row>
    <row r="375" spans="1:35" ht="15.75" customHeight="1" x14ac:dyDescent="0.25">
      <c r="A375" s="10"/>
      <c r="B375" s="13"/>
      <c r="C375" s="13"/>
      <c r="D375" s="13"/>
      <c r="E375" s="13"/>
      <c r="F375" s="13"/>
      <c r="G375" s="13"/>
      <c r="H375" s="13"/>
      <c r="T375" s="13"/>
      <c r="U375" s="13"/>
      <c r="V375" s="13"/>
      <c r="W375" s="13"/>
      <c r="X375" s="13"/>
      <c r="Y375" s="10"/>
      <c r="Z375" s="9"/>
      <c r="AA375" s="9"/>
      <c r="AB375" s="9"/>
      <c r="AC375" s="9"/>
      <c r="AD375" s="9"/>
      <c r="AE375" s="9"/>
      <c r="AF375" s="9"/>
      <c r="AG375" s="9"/>
      <c r="AH375" s="9"/>
      <c r="AI375" s="9"/>
    </row>
    <row r="376" spans="1:35" ht="15.75" customHeight="1" x14ac:dyDescent="0.25">
      <c r="A376" s="10"/>
      <c r="B376" s="13"/>
      <c r="C376" s="13"/>
      <c r="D376" s="13"/>
      <c r="E376" s="13"/>
      <c r="F376" s="13"/>
      <c r="G376" s="13"/>
      <c r="H376" s="13"/>
      <c r="T376" s="13"/>
      <c r="U376" s="13"/>
      <c r="V376" s="13"/>
      <c r="W376" s="13"/>
      <c r="X376" s="13"/>
      <c r="Y376" s="10"/>
      <c r="Z376" s="9"/>
      <c r="AA376" s="9"/>
      <c r="AB376" s="9"/>
      <c r="AC376" s="9"/>
      <c r="AD376" s="9"/>
      <c r="AE376" s="9"/>
      <c r="AF376" s="9"/>
      <c r="AG376" s="9"/>
      <c r="AH376" s="9"/>
      <c r="AI376" s="9"/>
    </row>
    <row r="377" spans="1:35" ht="15.75" customHeight="1" x14ac:dyDescent="0.25">
      <c r="A377" s="10"/>
      <c r="B377" s="13"/>
      <c r="C377" s="13"/>
      <c r="D377" s="13"/>
      <c r="E377" s="13"/>
      <c r="F377" s="13"/>
      <c r="G377" s="13"/>
      <c r="H377" s="13"/>
      <c r="T377" s="13"/>
      <c r="U377" s="13"/>
      <c r="V377" s="13"/>
      <c r="W377" s="13"/>
      <c r="X377" s="13"/>
      <c r="Y377" s="10"/>
      <c r="Z377" s="9"/>
      <c r="AA377" s="9"/>
      <c r="AB377" s="9"/>
      <c r="AC377" s="9"/>
      <c r="AD377" s="9"/>
      <c r="AE377" s="9"/>
      <c r="AF377" s="9"/>
      <c r="AG377" s="9"/>
      <c r="AH377" s="9"/>
      <c r="AI377" s="9"/>
    </row>
    <row r="378" spans="1:35" ht="15.75" customHeight="1" x14ac:dyDescent="0.25">
      <c r="A378" s="10"/>
      <c r="B378" s="13"/>
      <c r="C378" s="13"/>
      <c r="D378" s="13"/>
      <c r="E378" s="13"/>
      <c r="F378" s="13"/>
      <c r="G378" s="13"/>
      <c r="H378" s="13"/>
      <c r="T378" s="13"/>
      <c r="U378" s="13"/>
      <c r="V378" s="13"/>
      <c r="W378" s="13"/>
      <c r="X378" s="13"/>
      <c r="Y378" s="10"/>
      <c r="Z378" s="9"/>
      <c r="AA378" s="9"/>
      <c r="AB378" s="9"/>
      <c r="AC378" s="9"/>
      <c r="AD378" s="9"/>
      <c r="AE378" s="9"/>
      <c r="AF378" s="9"/>
      <c r="AG378" s="9"/>
      <c r="AH378" s="9"/>
      <c r="AI378" s="9"/>
    </row>
    <row r="379" spans="1:35" ht="15.75" customHeight="1" x14ac:dyDescent="0.25">
      <c r="A379" s="10"/>
      <c r="B379" s="13"/>
      <c r="C379" s="13"/>
      <c r="D379" s="13"/>
      <c r="E379" s="13"/>
      <c r="F379" s="13"/>
      <c r="G379" s="13"/>
      <c r="H379" s="13"/>
      <c r="T379" s="13"/>
      <c r="U379" s="13"/>
      <c r="V379" s="13"/>
      <c r="W379" s="13"/>
      <c r="X379" s="13"/>
      <c r="Y379" s="10"/>
      <c r="Z379" s="9"/>
      <c r="AA379" s="9"/>
      <c r="AB379" s="9"/>
      <c r="AC379" s="9"/>
      <c r="AD379" s="9"/>
      <c r="AE379" s="9"/>
      <c r="AF379" s="9"/>
      <c r="AG379" s="9"/>
      <c r="AH379" s="9"/>
      <c r="AI379" s="9"/>
    </row>
    <row r="380" spans="1:35" ht="15.75" customHeight="1" x14ac:dyDescent="0.25">
      <c r="A380" s="10"/>
      <c r="B380" s="13"/>
      <c r="C380" s="13"/>
      <c r="D380" s="13"/>
      <c r="E380" s="13"/>
      <c r="F380" s="13"/>
      <c r="G380" s="13"/>
      <c r="H380" s="13"/>
      <c r="T380" s="13"/>
      <c r="U380" s="13"/>
      <c r="V380" s="13"/>
      <c r="W380" s="13"/>
      <c r="X380" s="13"/>
      <c r="Y380" s="10"/>
      <c r="Z380" s="9"/>
      <c r="AA380" s="9"/>
      <c r="AB380" s="9"/>
      <c r="AC380" s="9"/>
      <c r="AD380" s="9"/>
      <c r="AE380" s="9"/>
      <c r="AF380" s="9"/>
      <c r="AG380" s="9"/>
      <c r="AH380" s="9"/>
      <c r="AI380" s="9"/>
    </row>
    <row r="381" spans="1:35" ht="15.75" customHeight="1" x14ac:dyDescent="0.25">
      <c r="A381" s="10"/>
      <c r="B381" s="13"/>
      <c r="C381" s="13"/>
      <c r="D381" s="13"/>
      <c r="E381" s="13"/>
      <c r="F381" s="13"/>
      <c r="G381" s="13"/>
      <c r="H381" s="13"/>
      <c r="T381" s="13"/>
      <c r="U381" s="13"/>
      <c r="V381" s="13"/>
      <c r="W381" s="13"/>
      <c r="X381" s="13"/>
      <c r="Y381" s="10"/>
      <c r="Z381" s="9"/>
      <c r="AA381" s="9"/>
      <c r="AB381" s="9"/>
      <c r="AC381" s="9"/>
      <c r="AD381" s="9"/>
      <c r="AE381" s="9"/>
      <c r="AF381" s="9"/>
      <c r="AG381" s="9"/>
      <c r="AH381" s="9"/>
      <c r="AI381" s="9"/>
    </row>
    <row r="382" spans="1:35" ht="15.75" customHeight="1" x14ac:dyDescent="0.25">
      <c r="A382" s="10"/>
      <c r="B382" s="13"/>
      <c r="C382" s="13"/>
      <c r="D382" s="13"/>
      <c r="E382" s="13"/>
      <c r="F382" s="13"/>
      <c r="G382" s="13"/>
      <c r="H382" s="13"/>
      <c r="T382" s="13"/>
      <c r="U382" s="13"/>
      <c r="V382" s="13"/>
      <c r="W382" s="13"/>
      <c r="X382" s="13"/>
      <c r="Y382" s="10"/>
      <c r="Z382" s="9"/>
      <c r="AA382" s="9"/>
      <c r="AB382" s="9"/>
      <c r="AC382" s="9"/>
      <c r="AD382" s="9"/>
      <c r="AE382" s="9"/>
      <c r="AF382" s="9"/>
      <c r="AG382" s="9"/>
      <c r="AH382" s="9"/>
      <c r="AI382" s="9"/>
    </row>
    <row r="383" spans="1:35" ht="15.75" customHeight="1" x14ac:dyDescent="0.25">
      <c r="A383" s="10"/>
      <c r="B383" s="13"/>
      <c r="C383" s="13"/>
      <c r="D383" s="13"/>
      <c r="E383" s="13"/>
      <c r="F383" s="13"/>
      <c r="G383" s="13"/>
      <c r="H383" s="13"/>
      <c r="T383" s="13"/>
      <c r="U383" s="13"/>
      <c r="V383" s="13"/>
      <c r="W383" s="13"/>
      <c r="X383" s="13"/>
      <c r="Y383" s="10"/>
      <c r="Z383" s="9"/>
      <c r="AA383" s="9"/>
      <c r="AB383" s="9"/>
      <c r="AC383" s="9"/>
      <c r="AD383" s="9"/>
      <c r="AE383" s="9"/>
      <c r="AF383" s="9"/>
      <c r="AG383" s="9"/>
      <c r="AH383" s="9"/>
      <c r="AI383" s="9"/>
    </row>
    <row r="384" spans="1:35" ht="15.75" customHeight="1" x14ac:dyDescent="0.25">
      <c r="A384" s="10"/>
      <c r="B384" s="13"/>
      <c r="C384" s="13"/>
      <c r="D384" s="13"/>
      <c r="E384" s="13"/>
      <c r="F384" s="13"/>
      <c r="G384" s="13"/>
      <c r="H384" s="13"/>
      <c r="T384" s="13"/>
      <c r="U384" s="13"/>
      <c r="V384" s="13"/>
      <c r="W384" s="13"/>
      <c r="X384" s="13"/>
      <c r="Y384" s="10"/>
      <c r="Z384" s="9"/>
      <c r="AA384" s="9"/>
      <c r="AB384" s="9"/>
      <c r="AC384" s="9"/>
      <c r="AD384" s="9"/>
      <c r="AE384" s="9"/>
      <c r="AF384" s="9"/>
      <c r="AG384" s="9"/>
      <c r="AH384" s="9"/>
      <c r="AI384" s="9"/>
    </row>
    <row r="385" spans="1:35" ht="15.75" customHeight="1" x14ac:dyDescent="0.25">
      <c r="A385" s="10"/>
      <c r="B385" s="13"/>
      <c r="C385" s="13"/>
      <c r="D385" s="13"/>
      <c r="E385" s="13"/>
      <c r="F385" s="13"/>
      <c r="G385" s="13"/>
      <c r="H385" s="13"/>
      <c r="T385" s="13"/>
      <c r="U385" s="13"/>
      <c r="V385" s="13"/>
      <c r="W385" s="13"/>
      <c r="X385" s="13"/>
      <c r="Y385" s="10"/>
      <c r="Z385" s="9"/>
      <c r="AA385" s="9"/>
      <c r="AB385" s="9"/>
      <c r="AC385" s="9"/>
      <c r="AD385" s="9"/>
      <c r="AE385" s="9"/>
      <c r="AF385" s="9"/>
      <c r="AG385" s="9"/>
      <c r="AH385" s="9"/>
      <c r="AI385" s="9"/>
    </row>
    <row r="386" spans="1:35" ht="15.75" customHeight="1" x14ac:dyDescent="0.25">
      <c r="A386" s="10"/>
      <c r="B386" s="13"/>
      <c r="C386" s="13"/>
      <c r="D386" s="13"/>
      <c r="E386" s="13"/>
      <c r="F386" s="13"/>
      <c r="G386" s="13"/>
      <c r="H386" s="13"/>
      <c r="T386" s="13"/>
      <c r="U386" s="13"/>
      <c r="V386" s="13"/>
      <c r="W386" s="13"/>
      <c r="X386" s="13"/>
      <c r="Y386" s="10"/>
      <c r="Z386" s="9"/>
      <c r="AA386" s="9"/>
      <c r="AB386" s="9"/>
      <c r="AC386" s="9"/>
      <c r="AD386" s="9"/>
      <c r="AE386" s="9"/>
      <c r="AF386" s="9"/>
      <c r="AG386" s="9"/>
      <c r="AH386" s="9"/>
      <c r="AI386" s="9"/>
    </row>
    <row r="387" spans="1:35" ht="15.75" customHeight="1" x14ac:dyDescent="0.25">
      <c r="A387" s="10"/>
      <c r="B387" s="13"/>
      <c r="C387" s="13"/>
      <c r="D387" s="13"/>
      <c r="E387" s="13"/>
      <c r="F387" s="13"/>
      <c r="G387" s="13"/>
      <c r="H387" s="13"/>
      <c r="T387" s="13"/>
      <c r="U387" s="13"/>
      <c r="V387" s="13"/>
      <c r="W387" s="13"/>
      <c r="X387" s="13"/>
      <c r="Y387" s="10"/>
      <c r="Z387" s="9"/>
      <c r="AA387" s="9"/>
      <c r="AB387" s="9"/>
      <c r="AC387" s="9"/>
      <c r="AD387" s="9"/>
      <c r="AE387" s="9"/>
      <c r="AF387" s="9"/>
      <c r="AG387" s="9"/>
      <c r="AH387" s="9"/>
      <c r="AI387" s="9"/>
    </row>
    <row r="388" spans="1:35" ht="15.75" customHeight="1" x14ac:dyDescent="0.25">
      <c r="A388" s="10"/>
      <c r="B388" s="13"/>
      <c r="C388" s="13"/>
      <c r="D388" s="13"/>
      <c r="E388" s="13"/>
      <c r="F388" s="13"/>
      <c r="G388" s="13"/>
      <c r="H388" s="13"/>
      <c r="T388" s="13"/>
      <c r="U388" s="13"/>
      <c r="V388" s="13"/>
      <c r="W388" s="13"/>
      <c r="X388" s="13"/>
      <c r="Y388" s="10"/>
      <c r="Z388" s="9"/>
      <c r="AA388" s="9"/>
      <c r="AB388" s="9"/>
      <c r="AC388" s="9"/>
      <c r="AD388" s="9"/>
      <c r="AE388" s="9"/>
      <c r="AF388" s="9"/>
      <c r="AG388" s="9"/>
      <c r="AH388" s="9"/>
      <c r="AI388" s="9"/>
    </row>
    <row r="389" spans="1:35" ht="15.75" customHeight="1" x14ac:dyDescent="0.25">
      <c r="A389" s="10"/>
      <c r="B389" s="13"/>
      <c r="C389" s="13"/>
      <c r="D389" s="13"/>
      <c r="E389" s="13"/>
      <c r="F389" s="13"/>
      <c r="G389" s="13"/>
      <c r="H389" s="13"/>
      <c r="T389" s="13"/>
      <c r="U389" s="13"/>
      <c r="V389" s="13"/>
      <c r="W389" s="13"/>
      <c r="X389" s="13"/>
      <c r="Y389" s="10"/>
      <c r="Z389" s="9"/>
      <c r="AA389" s="9"/>
      <c r="AB389" s="9"/>
      <c r="AC389" s="9"/>
      <c r="AD389" s="9"/>
      <c r="AE389" s="9"/>
      <c r="AF389" s="9"/>
      <c r="AG389" s="9"/>
      <c r="AH389" s="9"/>
      <c r="AI389" s="9"/>
    </row>
    <row r="390" spans="1:35" ht="15.75" customHeight="1" x14ac:dyDescent="0.25">
      <c r="A390" s="10"/>
      <c r="B390" s="13"/>
      <c r="C390" s="13"/>
      <c r="D390" s="13"/>
      <c r="E390" s="13"/>
      <c r="F390" s="13"/>
      <c r="G390" s="13"/>
      <c r="H390" s="13"/>
      <c r="T390" s="13"/>
      <c r="U390" s="13"/>
      <c r="V390" s="13"/>
      <c r="W390" s="13"/>
      <c r="X390" s="13"/>
      <c r="Y390" s="10"/>
      <c r="Z390" s="9"/>
      <c r="AA390" s="9"/>
      <c r="AB390" s="9"/>
      <c r="AC390" s="9"/>
      <c r="AD390" s="9"/>
      <c r="AE390" s="9"/>
      <c r="AF390" s="9"/>
      <c r="AG390" s="9"/>
      <c r="AH390" s="9"/>
      <c r="AI390" s="9"/>
    </row>
    <row r="391" spans="1:35" ht="15.75" customHeight="1" x14ac:dyDescent="0.25">
      <c r="A391" s="10"/>
      <c r="B391" s="13"/>
      <c r="C391" s="13"/>
      <c r="D391" s="13"/>
      <c r="E391" s="13"/>
      <c r="F391" s="13"/>
      <c r="G391" s="13"/>
      <c r="H391" s="13"/>
      <c r="T391" s="13"/>
      <c r="U391" s="13"/>
      <c r="V391" s="13"/>
      <c r="W391" s="13"/>
      <c r="X391" s="13"/>
      <c r="Y391" s="10"/>
      <c r="Z391" s="9"/>
      <c r="AA391" s="9"/>
      <c r="AB391" s="9"/>
      <c r="AC391" s="9"/>
      <c r="AD391" s="9"/>
      <c r="AE391" s="9"/>
      <c r="AF391" s="9"/>
      <c r="AG391" s="9"/>
      <c r="AH391" s="9"/>
      <c r="AI391" s="9"/>
    </row>
    <row r="392" spans="1:35" ht="15.75" customHeight="1" x14ac:dyDescent="0.25">
      <c r="A392" s="10"/>
      <c r="B392" s="13"/>
      <c r="C392" s="13"/>
      <c r="D392" s="13"/>
      <c r="E392" s="13"/>
      <c r="F392" s="13"/>
      <c r="G392" s="13"/>
      <c r="H392" s="13"/>
      <c r="T392" s="13"/>
      <c r="U392" s="13"/>
      <c r="V392" s="13"/>
      <c r="W392" s="13"/>
      <c r="X392" s="13"/>
      <c r="Y392" s="10"/>
      <c r="Z392" s="9"/>
      <c r="AA392" s="9"/>
      <c r="AB392" s="9"/>
      <c r="AC392" s="9"/>
      <c r="AD392" s="9"/>
      <c r="AE392" s="9"/>
      <c r="AF392" s="9"/>
      <c r="AG392" s="9"/>
      <c r="AH392" s="9"/>
      <c r="AI392" s="9"/>
    </row>
    <row r="393" spans="1:35" ht="15.75" customHeight="1" x14ac:dyDescent="0.25">
      <c r="A393" s="10"/>
      <c r="B393" s="13"/>
      <c r="C393" s="13"/>
      <c r="D393" s="13"/>
      <c r="E393" s="13"/>
      <c r="F393" s="13"/>
      <c r="G393" s="13"/>
      <c r="H393" s="13"/>
      <c r="T393" s="13"/>
      <c r="U393" s="13"/>
      <c r="V393" s="13"/>
      <c r="W393" s="13"/>
      <c r="X393" s="13"/>
      <c r="Y393" s="10"/>
      <c r="Z393" s="9"/>
      <c r="AA393" s="9"/>
      <c r="AB393" s="9"/>
      <c r="AC393" s="9"/>
      <c r="AD393" s="9"/>
      <c r="AE393" s="9"/>
      <c r="AF393" s="9"/>
      <c r="AG393" s="9"/>
      <c r="AH393" s="9"/>
      <c r="AI393" s="9"/>
    </row>
    <row r="394" spans="1:35" ht="15.75" customHeight="1" x14ac:dyDescent="0.25">
      <c r="A394" s="10"/>
      <c r="B394" s="13"/>
      <c r="C394" s="13"/>
      <c r="D394" s="13"/>
      <c r="E394" s="13"/>
      <c r="F394" s="13"/>
      <c r="G394" s="13"/>
      <c r="H394" s="13"/>
      <c r="T394" s="13"/>
      <c r="U394" s="13"/>
      <c r="V394" s="13"/>
      <c r="W394" s="13"/>
      <c r="X394" s="13"/>
      <c r="Y394" s="10"/>
      <c r="Z394" s="9"/>
      <c r="AA394" s="9"/>
      <c r="AB394" s="9"/>
      <c r="AC394" s="9"/>
      <c r="AD394" s="9"/>
      <c r="AE394" s="9"/>
      <c r="AF394" s="9"/>
      <c r="AG394" s="9"/>
      <c r="AH394" s="9"/>
      <c r="AI394" s="9"/>
    </row>
    <row r="395" spans="1:35" ht="15.75" customHeight="1" x14ac:dyDescent="0.25">
      <c r="A395" s="10"/>
      <c r="B395" s="13"/>
      <c r="C395" s="13"/>
      <c r="D395" s="13"/>
      <c r="E395" s="13"/>
      <c r="F395" s="13"/>
      <c r="G395" s="13"/>
      <c r="H395" s="13"/>
      <c r="T395" s="13"/>
      <c r="U395" s="13"/>
      <c r="V395" s="13"/>
      <c r="W395" s="13"/>
      <c r="X395" s="13"/>
      <c r="Y395" s="10"/>
      <c r="Z395" s="9"/>
      <c r="AA395" s="9"/>
      <c r="AB395" s="9"/>
      <c r="AC395" s="9"/>
      <c r="AD395" s="9"/>
      <c r="AE395" s="9"/>
      <c r="AF395" s="9"/>
      <c r="AG395" s="9"/>
      <c r="AH395" s="9"/>
      <c r="AI395" s="9"/>
    </row>
    <row r="396" spans="1:35" ht="15.75" customHeight="1" x14ac:dyDescent="0.25">
      <c r="A396" s="10"/>
      <c r="B396" s="13"/>
      <c r="C396" s="13"/>
      <c r="D396" s="13"/>
      <c r="E396" s="13"/>
      <c r="F396" s="13"/>
      <c r="G396" s="13"/>
      <c r="H396" s="13"/>
      <c r="T396" s="13"/>
      <c r="U396" s="13"/>
      <c r="V396" s="13"/>
      <c r="W396" s="13"/>
      <c r="X396" s="13"/>
      <c r="Y396" s="10"/>
      <c r="Z396" s="9"/>
      <c r="AA396" s="9"/>
      <c r="AB396" s="9"/>
      <c r="AC396" s="9"/>
      <c r="AD396" s="9"/>
      <c r="AE396" s="9"/>
      <c r="AF396" s="9"/>
      <c r="AG396" s="9"/>
      <c r="AH396" s="9"/>
      <c r="AI396" s="9"/>
    </row>
    <row r="397" spans="1:35" ht="15.75" customHeight="1" x14ac:dyDescent="0.25">
      <c r="A397" s="10"/>
      <c r="B397" s="13"/>
      <c r="C397" s="13"/>
      <c r="D397" s="13"/>
      <c r="E397" s="13"/>
      <c r="F397" s="13"/>
      <c r="G397" s="13"/>
      <c r="H397" s="13"/>
      <c r="T397" s="13"/>
      <c r="U397" s="13"/>
      <c r="V397" s="13"/>
      <c r="W397" s="13"/>
      <c r="X397" s="13"/>
      <c r="Y397" s="10"/>
      <c r="Z397" s="9"/>
      <c r="AA397" s="9"/>
      <c r="AB397" s="9"/>
      <c r="AC397" s="9"/>
      <c r="AD397" s="9"/>
      <c r="AE397" s="9"/>
      <c r="AF397" s="9"/>
      <c r="AG397" s="9"/>
      <c r="AH397" s="9"/>
      <c r="AI397" s="9"/>
    </row>
    <row r="398" spans="1:35" ht="15.75" customHeight="1" x14ac:dyDescent="0.25">
      <c r="A398" s="10"/>
      <c r="B398" s="13"/>
      <c r="C398" s="13"/>
      <c r="D398" s="13"/>
      <c r="E398" s="13"/>
      <c r="F398" s="13"/>
      <c r="G398" s="13"/>
      <c r="H398" s="13"/>
      <c r="T398" s="13"/>
      <c r="U398" s="13"/>
      <c r="V398" s="13"/>
      <c r="W398" s="13"/>
      <c r="X398" s="13"/>
      <c r="Y398" s="10"/>
      <c r="Z398" s="9"/>
      <c r="AA398" s="9"/>
      <c r="AB398" s="9"/>
      <c r="AC398" s="9"/>
      <c r="AD398" s="9"/>
      <c r="AE398" s="9"/>
      <c r="AF398" s="9"/>
      <c r="AG398" s="9"/>
      <c r="AH398" s="9"/>
      <c r="AI398" s="9"/>
    </row>
    <row r="399" spans="1:35" ht="15.75" customHeight="1" x14ac:dyDescent="0.25">
      <c r="A399" s="10"/>
      <c r="B399" s="13"/>
      <c r="C399" s="13"/>
      <c r="D399" s="13"/>
      <c r="E399" s="13"/>
      <c r="F399" s="13"/>
      <c r="G399" s="13"/>
      <c r="H399" s="13"/>
      <c r="T399" s="13"/>
      <c r="U399" s="13"/>
      <c r="V399" s="13"/>
      <c r="W399" s="13"/>
      <c r="X399" s="13"/>
      <c r="Y399" s="10"/>
      <c r="Z399" s="9"/>
      <c r="AA399" s="9"/>
      <c r="AB399" s="9"/>
      <c r="AC399" s="9"/>
      <c r="AD399" s="9"/>
      <c r="AE399" s="9"/>
      <c r="AF399" s="9"/>
      <c r="AG399" s="9"/>
      <c r="AH399" s="9"/>
      <c r="AI399" s="9"/>
    </row>
    <row r="400" spans="1:35" ht="15.75" customHeight="1" x14ac:dyDescent="0.25">
      <c r="A400" s="10"/>
      <c r="B400" s="13"/>
      <c r="C400" s="13"/>
      <c r="D400" s="13"/>
      <c r="E400" s="13"/>
      <c r="F400" s="13"/>
      <c r="G400" s="13"/>
      <c r="H400" s="13"/>
      <c r="T400" s="13"/>
      <c r="U400" s="13"/>
      <c r="V400" s="13"/>
      <c r="W400" s="13"/>
      <c r="X400" s="13"/>
      <c r="Y400" s="10"/>
      <c r="Z400" s="9"/>
      <c r="AA400" s="9"/>
      <c r="AB400" s="9"/>
      <c r="AC400" s="9"/>
      <c r="AD400" s="9"/>
      <c r="AE400" s="9"/>
      <c r="AF400" s="9"/>
      <c r="AG400" s="9"/>
      <c r="AH400" s="9"/>
      <c r="AI400" s="9"/>
    </row>
    <row r="401" spans="1:35" ht="15.75" customHeight="1" x14ac:dyDescent="0.25">
      <c r="A401" s="10"/>
      <c r="B401" s="13"/>
      <c r="C401" s="13"/>
      <c r="D401" s="13"/>
      <c r="E401" s="13"/>
      <c r="F401" s="13"/>
      <c r="G401" s="13"/>
      <c r="H401" s="13"/>
      <c r="T401" s="13"/>
      <c r="U401" s="13"/>
      <c r="V401" s="13"/>
      <c r="W401" s="13"/>
      <c r="X401" s="13"/>
      <c r="Y401" s="10"/>
      <c r="Z401" s="9"/>
      <c r="AA401" s="9"/>
      <c r="AB401" s="9"/>
      <c r="AC401" s="9"/>
      <c r="AD401" s="9"/>
      <c r="AE401" s="9"/>
      <c r="AF401" s="9"/>
      <c r="AG401" s="9"/>
      <c r="AH401" s="9"/>
      <c r="AI401" s="9"/>
    </row>
    <row r="402" spans="1:35" ht="15.75" customHeight="1" x14ac:dyDescent="0.25">
      <c r="A402" s="10"/>
      <c r="B402" s="13"/>
      <c r="C402" s="13"/>
      <c r="D402" s="13"/>
      <c r="E402" s="13"/>
      <c r="F402" s="13"/>
      <c r="G402" s="13"/>
      <c r="H402" s="13"/>
      <c r="T402" s="13"/>
      <c r="U402" s="13"/>
      <c r="V402" s="13"/>
      <c r="W402" s="13"/>
      <c r="X402" s="13"/>
      <c r="Y402" s="10"/>
      <c r="Z402" s="9"/>
      <c r="AA402" s="9"/>
      <c r="AB402" s="9"/>
      <c r="AC402" s="9"/>
      <c r="AD402" s="9"/>
      <c r="AE402" s="9"/>
      <c r="AF402" s="9"/>
      <c r="AG402" s="9"/>
      <c r="AH402" s="9"/>
      <c r="AI402" s="9"/>
    </row>
    <row r="403" spans="1:35" ht="15.75" customHeight="1" x14ac:dyDescent="0.25">
      <c r="A403" s="10"/>
      <c r="B403" s="13"/>
      <c r="C403" s="13"/>
      <c r="D403" s="13"/>
      <c r="E403" s="13"/>
      <c r="F403" s="13"/>
      <c r="G403" s="13"/>
      <c r="H403" s="13"/>
      <c r="T403" s="13"/>
      <c r="U403" s="13"/>
      <c r="V403" s="13"/>
      <c r="W403" s="13"/>
      <c r="X403" s="13"/>
      <c r="Y403" s="10"/>
      <c r="Z403" s="9"/>
      <c r="AA403" s="9"/>
      <c r="AB403" s="9"/>
      <c r="AC403" s="9"/>
      <c r="AD403" s="9"/>
      <c r="AE403" s="9"/>
      <c r="AF403" s="9"/>
      <c r="AG403" s="9"/>
      <c r="AH403" s="9"/>
      <c r="AI403" s="9"/>
    </row>
    <row r="404" spans="1:35" ht="15.75" customHeight="1" x14ac:dyDescent="0.25">
      <c r="A404" s="10"/>
      <c r="B404" s="13"/>
      <c r="C404" s="13"/>
      <c r="D404" s="13"/>
      <c r="E404" s="13"/>
      <c r="F404" s="13"/>
      <c r="G404" s="13"/>
      <c r="H404" s="13"/>
      <c r="T404" s="13"/>
      <c r="U404" s="13"/>
      <c r="V404" s="13"/>
      <c r="W404" s="13"/>
      <c r="X404" s="13"/>
      <c r="Y404" s="10"/>
      <c r="Z404" s="9"/>
      <c r="AA404" s="9"/>
      <c r="AB404" s="9"/>
      <c r="AC404" s="9"/>
      <c r="AD404" s="9"/>
      <c r="AE404" s="9"/>
      <c r="AF404" s="9"/>
      <c r="AG404" s="9"/>
      <c r="AH404" s="9"/>
      <c r="AI404" s="9"/>
    </row>
    <row r="405" spans="1:35" ht="15.75" customHeight="1" x14ac:dyDescent="0.25">
      <c r="A405" s="10"/>
      <c r="B405" s="13"/>
      <c r="C405" s="13"/>
      <c r="D405" s="13"/>
      <c r="E405" s="13"/>
      <c r="F405" s="13"/>
      <c r="G405" s="13"/>
      <c r="H405" s="13"/>
      <c r="T405" s="13"/>
      <c r="U405" s="13"/>
      <c r="V405" s="13"/>
      <c r="W405" s="13"/>
      <c r="X405" s="13"/>
      <c r="Y405" s="10"/>
      <c r="Z405" s="9"/>
      <c r="AA405" s="9"/>
      <c r="AB405" s="9"/>
      <c r="AC405" s="9"/>
      <c r="AD405" s="9"/>
      <c r="AE405" s="9"/>
      <c r="AF405" s="9"/>
      <c r="AG405" s="9"/>
      <c r="AH405" s="9"/>
      <c r="AI405" s="9"/>
    </row>
    <row r="406" spans="1:35" ht="15.75" customHeight="1" x14ac:dyDescent="0.25">
      <c r="A406" s="10"/>
      <c r="B406" s="13"/>
      <c r="C406" s="13"/>
      <c r="D406" s="13"/>
      <c r="E406" s="13"/>
      <c r="F406" s="13"/>
      <c r="G406" s="13"/>
      <c r="H406" s="13"/>
      <c r="T406" s="13"/>
      <c r="U406" s="13"/>
      <c r="V406" s="13"/>
      <c r="W406" s="13"/>
      <c r="X406" s="13"/>
      <c r="Y406" s="10"/>
      <c r="Z406" s="9"/>
      <c r="AA406" s="9"/>
      <c r="AB406" s="9"/>
      <c r="AC406" s="9"/>
      <c r="AD406" s="9"/>
      <c r="AE406" s="9"/>
      <c r="AF406" s="9"/>
      <c r="AG406" s="9"/>
      <c r="AH406" s="9"/>
      <c r="AI406" s="9"/>
    </row>
    <row r="407" spans="1:35" ht="15.75" customHeight="1" x14ac:dyDescent="0.25">
      <c r="A407" s="10"/>
      <c r="B407" s="13"/>
      <c r="C407" s="13"/>
      <c r="D407" s="13"/>
      <c r="E407" s="13"/>
      <c r="F407" s="13"/>
      <c r="G407" s="13"/>
      <c r="H407" s="13"/>
      <c r="T407" s="13"/>
      <c r="U407" s="13"/>
      <c r="V407" s="13"/>
      <c r="W407" s="13"/>
      <c r="X407" s="13"/>
      <c r="Y407" s="10"/>
      <c r="Z407" s="9"/>
      <c r="AA407" s="9"/>
      <c r="AB407" s="9"/>
      <c r="AC407" s="9"/>
      <c r="AD407" s="9"/>
      <c r="AE407" s="9"/>
      <c r="AF407" s="9"/>
      <c r="AG407" s="9"/>
      <c r="AH407" s="9"/>
      <c r="AI407" s="9"/>
    </row>
    <row r="408" spans="1:35" ht="15.75" customHeight="1" x14ac:dyDescent="0.25">
      <c r="A408" s="10"/>
      <c r="B408" s="13"/>
      <c r="C408" s="13"/>
      <c r="D408" s="13"/>
      <c r="E408" s="13"/>
      <c r="F408" s="13"/>
      <c r="G408" s="13"/>
      <c r="H408" s="13"/>
      <c r="T408" s="13"/>
      <c r="U408" s="13"/>
      <c r="V408" s="13"/>
      <c r="W408" s="13"/>
      <c r="X408" s="13"/>
      <c r="Y408" s="10"/>
      <c r="Z408" s="9"/>
      <c r="AA408" s="9"/>
      <c r="AB408" s="9"/>
      <c r="AC408" s="9"/>
      <c r="AD408" s="9"/>
      <c r="AE408" s="9"/>
      <c r="AF408" s="9"/>
      <c r="AG408" s="9"/>
      <c r="AH408" s="9"/>
      <c r="AI408" s="9"/>
    </row>
    <row r="409" spans="1:35" ht="15.75" customHeight="1" x14ac:dyDescent="0.25">
      <c r="A409" s="10"/>
      <c r="B409" s="13"/>
      <c r="C409" s="13"/>
      <c r="D409" s="13"/>
      <c r="E409" s="13"/>
      <c r="F409" s="13"/>
      <c r="G409" s="13"/>
      <c r="H409" s="13"/>
      <c r="T409" s="13"/>
      <c r="U409" s="13"/>
      <c r="V409" s="13"/>
      <c r="W409" s="13"/>
      <c r="X409" s="13"/>
      <c r="Y409" s="10"/>
      <c r="Z409" s="9"/>
      <c r="AA409" s="9"/>
      <c r="AB409" s="9"/>
      <c r="AC409" s="9"/>
      <c r="AD409" s="9"/>
      <c r="AE409" s="9"/>
      <c r="AF409" s="9"/>
      <c r="AG409" s="9"/>
      <c r="AH409" s="9"/>
      <c r="AI409" s="9"/>
    </row>
    <row r="410" spans="1:35" ht="15.75" customHeight="1" x14ac:dyDescent="0.25">
      <c r="A410" s="10"/>
      <c r="B410" s="13"/>
      <c r="C410" s="13"/>
      <c r="D410" s="13"/>
      <c r="E410" s="13"/>
      <c r="F410" s="13"/>
      <c r="G410" s="13"/>
      <c r="H410" s="13"/>
      <c r="T410" s="13"/>
      <c r="U410" s="13"/>
      <c r="V410" s="13"/>
      <c r="W410" s="13"/>
      <c r="X410" s="13"/>
      <c r="Y410" s="10"/>
      <c r="Z410" s="9"/>
      <c r="AA410" s="9"/>
      <c r="AB410" s="9"/>
      <c r="AC410" s="9"/>
      <c r="AD410" s="9"/>
      <c r="AE410" s="9"/>
      <c r="AF410" s="9"/>
      <c r="AG410" s="9"/>
      <c r="AH410" s="9"/>
      <c r="AI410" s="9"/>
    </row>
    <row r="411" spans="1:35" ht="15.75" customHeight="1" x14ac:dyDescent="0.25">
      <c r="A411" s="10"/>
      <c r="B411" s="13"/>
      <c r="C411" s="13"/>
      <c r="D411" s="13"/>
      <c r="E411" s="13"/>
      <c r="F411" s="13"/>
      <c r="G411" s="13"/>
      <c r="H411" s="13"/>
      <c r="T411" s="13"/>
      <c r="U411" s="13"/>
      <c r="V411" s="13"/>
      <c r="W411" s="13"/>
      <c r="X411" s="13"/>
      <c r="Y411" s="10"/>
      <c r="Z411" s="9"/>
      <c r="AA411" s="9"/>
      <c r="AB411" s="9"/>
      <c r="AC411" s="9"/>
      <c r="AD411" s="9"/>
      <c r="AE411" s="9"/>
      <c r="AF411" s="9"/>
      <c r="AG411" s="9"/>
      <c r="AH411" s="9"/>
      <c r="AI411" s="9"/>
    </row>
    <row r="412" spans="1:35" ht="15.75" customHeight="1" x14ac:dyDescent="0.25">
      <c r="A412" s="10"/>
      <c r="B412" s="13"/>
      <c r="C412" s="13"/>
      <c r="D412" s="13"/>
      <c r="E412" s="13"/>
      <c r="F412" s="13"/>
      <c r="G412" s="13"/>
      <c r="H412" s="13"/>
      <c r="T412" s="13"/>
      <c r="U412" s="13"/>
      <c r="V412" s="13"/>
      <c r="W412" s="13"/>
      <c r="X412" s="13"/>
      <c r="Y412" s="10"/>
      <c r="Z412" s="9"/>
      <c r="AA412" s="9"/>
      <c r="AB412" s="9"/>
      <c r="AC412" s="9"/>
      <c r="AD412" s="9"/>
      <c r="AE412" s="9"/>
      <c r="AF412" s="9"/>
      <c r="AG412" s="9"/>
      <c r="AH412" s="9"/>
      <c r="AI412" s="9"/>
    </row>
    <row r="413" spans="1:35" ht="15.75" customHeight="1" x14ac:dyDescent="0.25">
      <c r="A413" s="10"/>
      <c r="B413" s="13"/>
      <c r="C413" s="13"/>
      <c r="D413" s="13"/>
      <c r="E413" s="13"/>
      <c r="F413" s="13"/>
      <c r="G413" s="13"/>
      <c r="H413" s="13"/>
      <c r="T413" s="13"/>
      <c r="U413" s="13"/>
      <c r="V413" s="13"/>
      <c r="W413" s="13"/>
      <c r="X413" s="13"/>
      <c r="Y413" s="10"/>
      <c r="Z413" s="9"/>
      <c r="AA413" s="9"/>
      <c r="AB413" s="9"/>
      <c r="AC413" s="9"/>
      <c r="AD413" s="9"/>
      <c r="AE413" s="9"/>
      <c r="AF413" s="9"/>
      <c r="AG413" s="9"/>
      <c r="AH413" s="9"/>
      <c r="AI413" s="9"/>
    </row>
    <row r="414" spans="1:35" ht="15.75" customHeight="1" x14ac:dyDescent="0.25">
      <c r="A414" s="10"/>
      <c r="B414" s="13"/>
      <c r="C414" s="13"/>
      <c r="D414" s="13"/>
      <c r="E414" s="13"/>
      <c r="F414" s="13"/>
      <c r="G414" s="13"/>
      <c r="H414" s="13"/>
      <c r="T414" s="13"/>
      <c r="U414" s="13"/>
      <c r="V414" s="13"/>
      <c r="W414" s="13"/>
      <c r="X414" s="13"/>
      <c r="Y414" s="10"/>
      <c r="Z414" s="9"/>
      <c r="AA414" s="9"/>
      <c r="AB414" s="9"/>
      <c r="AC414" s="9"/>
      <c r="AD414" s="9"/>
      <c r="AE414" s="9"/>
      <c r="AF414" s="9"/>
      <c r="AG414" s="9"/>
      <c r="AH414" s="9"/>
      <c r="AI414" s="9"/>
    </row>
    <row r="415" spans="1:35" ht="15.75" customHeight="1" x14ac:dyDescent="0.25">
      <c r="A415" s="10"/>
      <c r="B415" s="13"/>
      <c r="C415" s="13"/>
      <c r="D415" s="13"/>
      <c r="E415" s="13"/>
      <c r="F415" s="13"/>
      <c r="G415" s="13"/>
      <c r="H415" s="13"/>
      <c r="T415" s="13"/>
      <c r="U415" s="13"/>
      <c r="V415" s="13"/>
      <c r="W415" s="13"/>
      <c r="X415" s="13"/>
      <c r="Y415" s="10"/>
      <c r="Z415" s="9"/>
      <c r="AA415" s="9"/>
      <c r="AB415" s="9"/>
      <c r="AC415" s="9"/>
      <c r="AD415" s="9"/>
      <c r="AE415" s="9"/>
      <c r="AF415" s="9"/>
      <c r="AG415" s="9"/>
      <c r="AH415" s="9"/>
      <c r="AI415" s="9"/>
    </row>
    <row r="416" spans="1:35" ht="15.75" customHeight="1" x14ac:dyDescent="0.25">
      <c r="A416" s="10"/>
      <c r="B416" s="13"/>
      <c r="C416" s="13"/>
      <c r="D416" s="13"/>
      <c r="E416" s="13"/>
      <c r="F416" s="13"/>
      <c r="G416" s="13"/>
      <c r="H416" s="13"/>
      <c r="T416" s="13"/>
      <c r="U416" s="13"/>
      <c r="V416" s="13"/>
      <c r="W416" s="13"/>
      <c r="X416" s="13"/>
      <c r="Y416" s="10"/>
      <c r="Z416" s="9"/>
      <c r="AA416" s="9"/>
      <c r="AB416" s="9"/>
      <c r="AC416" s="9"/>
      <c r="AD416" s="9"/>
      <c r="AE416" s="9"/>
      <c r="AF416" s="9"/>
      <c r="AG416" s="9"/>
      <c r="AH416" s="9"/>
      <c r="AI416" s="9"/>
    </row>
    <row r="417" spans="1:35" ht="15.75" customHeight="1" x14ac:dyDescent="0.25">
      <c r="A417" s="10"/>
      <c r="B417" s="13"/>
      <c r="C417" s="13"/>
      <c r="D417" s="13"/>
      <c r="E417" s="13"/>
      <c r="F417" s="13"/>
      <c r="G417" s="13"/>
      <c r="H417" s="13"/>
      <c r="T417" s="13"/>
      <c r="U417" s="13"/>
      <c r="V417" s="13"/>
      <c r="W417" s="13"/>
      <c r="X417" s="13"/>
      <c r="Y417" s="10"/>
      <c r="Z417" s="9"/>
      <c r="AA417" s="9"/>
      <c r="AB417" s="9"/>
      <c r="AC417" s="9"/>
      <c r="AD417" s="9"/>
      <c r="AE417" s="9"/>
      <c r="AF417" s="9"/>
      <c r="AG417" s="9"/>
      <c r="AH417" s="9"/>
      <c r="AI417" s="9"/>
    </row>
    <row r="418" spans="1:35" ht="15.75" customHeight="1" x14ac:dyDescent="0.25">
      <c r="A418" s="10"/>
      <c r="B418" s="13"/>
      <c r="C418" s="13"/>
      <c r="D418" s="13"/>
      <c r="E418" s="13"/>
      <c r="F418" s="13"/>
      <c r="G418" s="13"/>
      <c r="H418" s="13"/>
      <c r="T418" s="13"/>
      <c r="U418" s="13"/>
      <c r="V418" s="13"/>
      <c r="W418" s="13"/>
      <c r="X418" s="13"/>
      <c r="Y418" s="10"/>
      <c r="Z418" s="9"/>
      <c r="AA418" s="9"/>
      <c r="AB418" s="9"/>
      <c r="AC418" s="9"/>
      <c r="AD418" s="9"/>
      <c r="AE418" s="9"/>
      <c r="AF418" s="9"/>
      <c r="AG418" s="9"/>
      <c r="AH418" s="9"/>
      <c r="AI418" s="9"/>
    </row>
    <row r="419" spans="1:35" ht="15.75" customHeight="1" x14ac:dyDescent="0.25">
      <c r="A419" s="10"/>
      <c r="B419" s="13"/>
      <c r="C419" s="13"/>
      <c r="D419" s="13"/>
      <c r="E419" s="13"/>
      <c r="F419" s="13"/>
      <c r="G419" s="13"/>
      <c r="H419" s="13"/>
      <c r="T419" s="13"/>
      <c r="U419" s="13"/>
      <c r="V419" s="13"/>
      <c r="W419" s="13"/>
      <c r="X419" s="13"/>
      <c r="Y419" s="10"/>
      <c r="Z419" s="9"/>
      <c r="AA419" s="9"/>
      <c r="AB419" s="9"/>
      <c r="AC419" s="9"/>
      <c r="AD419" s="9"/>
      <c r="AE419" s="9"/>
      <c r="AF419" s="9"/>
      <c r="AG419" s="9"/>
      <c r="AH419" s="9"/>
      <c r="AI419" s="9"/>
    </row>
    <row r="420" spans="1:35" ht="15.75" customHeight="1" x14ac:dyDescent="0.25">
      <c r="A420" s="10"/>
      <c r="B420" s="13"/>
      <c r="C420" s="13"/>
      <c r="D420" s="13"/>
      <c r="E420" s="13"/>
      <c r="F420" s="13"/>
      <c r="G420" s="13"/>
      <c r="H420" s="13"/>
      <c r="T420" s="13"/>
      <c r="U420" s="13"/>
      <c r="V420" s="13"/>
      <c r="W420" s="13"/>
      <c r="X420" s="13"/>
      <c r="Y420" s="10"/>
      <c r="Z420" s="9"/>
      <c r="AA420" s="9"/>
      <c r="AB420" s="9"/>
      <c r="AC420" s="9"/>
      <c r="AD420" s="9"/>
      <c r="AE420" s="9"/>
      <c r="AF420" s="9"/>
      <c r="AG420" s="9"/>
      <c r="AH420" s="9"/>
      <c r="AI420" s="9"/>
    </row>
    <row r="421" spans="1:35" ht="15.75" customHeight="1" x14ac:dyDescent="0.25">
      <c r="A421" s="10"/>
      <c r="B421" s="13"/>
      <c r="C421" s="13"/>
      <c r="D421" s="13"/>
      <c r="E421" s="13"/>
      <c r="F421" s="13"/>
      <c r="G421" s="13"/>
      <c r="H421" s="13"/>
      <c r="T421" s="13"/>
      <c r="U421" s="13"/>
      <c r="V421" s="13"/>
      <c r="W421" s="13"/>
      <c r="X421" s="13"/>
      <c r="Y421" s="10"/>
      <c r="Z421" s="9"/>
      <c r="AA421" s="9"/>
      <c r="AB421" s="9"/>
      <c r="AC421" s="9"/>
      <c r="AD421" s="9"/>
      <c r="AE421" s="9"/>
      <c r="AF421" s="9"/>
      <c r="AG421" s="9"/>
      <c r="AH421" s="9"/>
      <c r="AI421" s="9"/>
    </row>
    <row r="422" spans="1:35" ht="15.75" customHeight="1" x14ac:dyDescent="0.25">
      <c r="A422" s="10"/>
      <c r="B422" s="13"/>
      <c r="C422" s="13"/>
      <c r="D422" s="13"/>
      <c r="E422" s="13"/>
      <c r="F422" s="13"/>
      <c r="G422" s="13"/>
      <c r="H422" s="13"/>
      <c r="T422" s="13"/>
      <c r="U422" s="13"/>
      <c r="V422" s="13"/>
      <c r="W422" s="13"/>
      <c r="X422" s="13"/>
      <c r="Y422" s="10"/>
      <c r="Z422" s="9"/>
      <c r="AA422" s="9"/>
      <c r="AB422" s="9"/>
      <c r="AC422" s="9"/>
      <c r="AD422" s="9"/>
      <c r="AE422" s="9"/>
      <c r="AF422" s="9"/>
      <c r="AG422" s="9"/>
      <c r="AH422" s="9"/>
      <c r="AI422" s="9"/>
    </row>
    <row r="423" spans="1:35" ht="15.75" customHeight="1" x14ac:dyDescent="0.25">
      <c r="A423" s="10"/>
      <c r="B423" s="13"/>
      <c r="C423" s="13"/>
      <c r="D423" s="13"/>
      <c r="E423" s="13"/>
      <c r="F423" s="13"/>
      <c r="G423" s="13"/>
      <c r="H423" s="13"/>
      <c r="T423" s="13"/>
      <c r="U423" s="13"/>
      <c r="V423" s="13"/>
      <c r="W423" s="13"/>
      <c r="X423" s="13"/>
      <c r="Y423" s="10"/>
      <c r="Z423" s="9"/>
      <c r="AA423" s="9"/>
      <c r="AB423" s="9"/>
      <c r="AC423" s="9"/>
      <c r="AD423" s="9"/>
      <c r="AE423" s="9"/>
      <c r="AF423" s="9"/>
      <c r="AG423" s="9"/>
      <c r="AH423" s="9"/>
      <c r="AI423" s="9"/>
    </row>
    <row r="424" spans="1:35" ht="15.75" customHeight="1" x14ac:dyDescent="0.25">
      <c r="A424" s="10"/>
      <c r="B424" s="13"/>
      <c r="C424" s="13"/>
      <c r="D424" s="13"/>
      <c r="E424" s="13"/>
      <c r="F424" s="13"/>
      <c r="G424" s="13"/>
      <c r="H424" s="13"/>
      <c r="T424" s="13"/>
      <c r="U424" s="13"/>
      <c r="V424" s="13"/>
      <c r="W424" s="13"/>
      <c r="X424" s="13"/>
      <c r="Y424" s="10"/>
      <c r="Z424" s="9"/>
      <c r="AA424" s="9"/>
      <c r="AB424" s="9"/>
      <c r="AC424" s="9"/>
      <c r="AD424" s="9"/>
      <c r="AE424" s="9"/>
      <c r="AF424" s="9"/>
      <c r="AG424" s="9"/>
      <c r="AH424" s="9"/>
      <c r="AI424" s="9"/>
    </row>
    <row r="425" spans="1:35" ht="15.75" customHeight="1" x14ac:dyDescent="0.25">
      <c r="A425" s="10"/>
      <c r="B425" s="13"/>
      <c r="C425" s="13"/>
      <c r="D425" s="13"/>
      <c r="E425" s="13"/>
      <c r="F425" s="13"/>
      <c r="G425" s="13"/>
      <c r="H425" s="13"/>
      <c r="T425" s="13"/>
      <c r="U425" s="13"/>
      <c r="V425" s="13"/>
      <c r="W425" s="13"/>
      <c r="X425" s="13"/>
      <c r="Y425" s="10"/>
      <c r="Z425" s="9"/>
      <c r="AA425" s="9"/>
      <c r="AB425" s="9"/>
      <c r="AC425" s="9"/>
      <c r="AD425" s="9"/>
      <c r="AE425" s="9"/>
      <c r="AF425" s="9"/>
      <c r="AG425" s="9"/>
      <c r="AH425" s="9"/>
      <c r="AI425" s="9"/>
    </row>
    <row r="426" spans="1:35" ht="15.75" customHeight="1" x14ac:dyDescent="0.25">
      <c r="A426" s="10"/>
      <c r="B426" s="13"/>
      <c r="C426" s="13"/>
      <c r="D426" s="13"/>
      <c r="E426" s="13"/>
      <c r="F426" s="13"/>
      <c r="G426" s="13"/>
      <c r="H426" s="13"/>
      <c r="T426" s="13"/>
      <c r="U426" s="13"/>
      <c r="V426" s="13"/>
      <c r="W426" s="13"/>
      <c r="X426" s="13"/>
      <c r="Y426" s="10"/>
      <c r="Z426" s="9"/>
      <c r="AA426" s="9"/>
      <c r="AB426" s="9"/>
      <c r="AC426" s="9"/>
      <c r="AD426" s="9"/>
      <c r="AE426" s="9"/>
      <c r="AF426" s="9"/>
      <c r="AG426" s="9"/>
      <c r="AH426" s="9"/>
      <c r="AI426" s="9"/>
    </row>
    <row r="427" spans="1:35" ht="15.75" customHeight="1" x14ac:dyDescent="0.25">
      <c r="A427" s="10"/>
      <c r="B427" s="13"/>
      <c r="C427" s="13"/>
      <c r="D427" s="13"/>
      <c r="E427" s="13"/>
      <c r="F427" s="13"/>
      <c r="G427" s="13"/>
      <c r="H427" s="13"/>
      <c r="T427" s="13"/>
      <c r="U427" s="13"/>
      <c r="V427" s="13"/>
      <c r="W427" s="13"/>
      <c r="X427" s="13"/>
      <c r="Y427" s="10"/>
      <c r="Z427" s="9"/>
      <c r="AA427" s="9"/>
      <c r="AB427" s="9"/>
      <c r="AC427" s="9"/>
      <c r="AD427" s="9"/>
      <c r="AE427" s="9"/>
      <c r="AF427" s="9"/>
      <c r="AG427" s="9"/>
      <c r="AH427" s="9"/>
      <c r="AI427" s="9"/>
    </row>
    <row r="428" spans="1:35" ht="15.75" customHeight="1" x14ac:dyDescent="0.25">
      <c r="A428" s="10"/>
      <c r="B428" s="13"/>
      <c r="C428" s="13"/>
      <c r="D428" s="13"/>
      <c r="E428" s="13"/>
      <c r="F428" s="13"/>
      <c r="G428" s="13"/>
      <c r="H428" s="13"/>
      <c r="T428" s="13"/>
      <c r="U428" s="13"/>
      <c r="V428" s="13"/>
      <c r="W428" s="13"/>
      <c r="X428" s="13"/>
      <c r="Y428" s="10"/>
      <c r="Z428" s="9"/>
      <c r="AA428" s="9"/>
      <c r="AB428" s="9"/>
      <c r="AC428" s="9"/>
      <c r="AD428" s="9"/>
      <c r="AE428" s="9"/>
      <c r="AF428" s="9"/>
      <c r="AG428" s="9"/>
      <c r="AH428" s="9"/>
      <c r="AI428" s="9"/>
    </row>
    <row r="429" spans="1:35" ht="15.75" customHeight="1" x14ac:dyDescent="0.25">
      <c r="A429" s="10"/>
      <c r="B429" s="13"/>
      <c r="C429" s="13"/>
      <c r="D429" s="13"/>
      <c r="E429" s="13"/>
      <c r="F429" s="13"/>
      <c r="G429" s="13"/>
      <c r="H429" s="13"/>
      <c r="T429" s="13"/>
      <c r="U429" s="13"/>
      <c r="V429" s="13"/>
      <c r="W429" s="13"/>
      <c r="X429" s="13"/>
      <c r="Y429" s="10"/>
      <c r="Z429" s="9"/>
      <c r="AA429" s="9"/>
      <c r="AB429" s="9"/>
      <c r="AC429" s="9"/>
      <c r="AD429" s="9"/>
      <c r="AE429" s="9"/>
      <c r="AF429" s="9"/>
      <c r="AG429" s="9"/>
      <c r="AH429" s="9"/>
      <c r="AI429" s="9"/>
    </row>
    <row r="430" spans="1:35" ht="15.75" customHeight="1" x14ac:dyDescent="0.25">
      <c r="A430" s="10"/>
      <c r="B430" s="13"/>
      <c r="C430" s="13"/>
      <c r="D430" s="13"/>
      <c r="E430" s="13"/>
      <c r="F430" s="13"/>
      <c r="G430" s="13"/>
      <c r="H430" s="13"/>
      <c r="T430" s="13"/>
      <c r="U430" s="13"/>
      <c r="V430" s="13"/>
      <c r="W430" s="13"/>
      <c r="X430" s="13"/>
      <c r="Y430" s="10"/>
      <c r="Z430" s="9"/>
      <c r="AA430" s="9"/>
      <c r="AB430" s="9"/>
      <c r="AC430" s="9"/>
      <c r="AD430" s="9"/>
      <c r="AE430" s="9"/>
      <c r="AF430" s="9"/>
      <c r="AG430" s="9"/>
      <c r="AH430" s="9"/>
      <c r="AI430" s="9"/>
    </row>
    <row r="431" spans="1:35" ht="15.75" customHeight="1" x14ac:dyDescent="0.25">
      <c r="A431" s="10"/>
      <c r="B431" s="13"/>
      <c r="C431" s="13"/>
      <c r="D431" s="13"/>
      <c r="E431" s="13"/>
      <c r="F431" s="13"/>
      <c r="G431" s="13"/>
      <c r="H431" s="13"/>
      <c r="T431" s="13"/>
      <c r="U431" s="13"/>
      <c r="V431" s="13"/>
      <c r="W431" s="13"/>
      <c r="X431" s="13"/>
      <c r="Y431" s="10"/>
      <c r="Z431" s="9"/>
      <c r="AA431" s="9"/>
      <c r="AB431" s="9"/>
      <c r="AC431" s="9"/>
      <c r="AD431" s="9"/>
      <c r="AE431" s="9"/>
      <c r="AF431" s="9"/>
      <c r="AG431" s="9"/>
      <c r="AH431" s="9"/>
      <c r="AI431" s="9"/>
    </row>
    <row r="432" spans="1:35" ht="15.75" customHeight="1" x14ac:dyDescent="0.25">
      <c r="A432" s="10"/>
      <c r="B432" s="13"/>
      <c r="C432" s="13"/>
      <c r="D432" s="13"/>
      <c r="E432" s="13"/>
      <c r="F432" s="13"/>
      <c r="G432" s="13"/>
      <c r="H432" s="13"/>
      <c r="T432" s="13"/>
      <c r="U432" s="13"/>
      <c r="V432" s="13"/>
      <c r="W432" s="13"/>
      <c r="X432" s="13"/>
      <c r="Y432" s="10"/>
      <c r="Z432" s="9"/>
      <c r="AA432" s="9"/>
      <c r="AB432" s="9"/>
      <c r="AC432" s="9"/>
      <c r="AD432" s="9"/>
      <c r="AE432" s="9"/>
      <c r="AF432" s="9"/>
      <c r="AG432" s="9"/>
      <c r="AH432" s="9"/>
      <c r="AI432" s="9"/>
    </row>
    <row r="433" spans="1:35" ht="15.75" customHeight="1" x14ac:dyDescent="0.25">
      <c r="A433" s="10"/>
      <c r="B433" s="13"/>
      <c r="C433" s="13"/>
      <c r="D433" s="13"/>
      <c r="E433" s="13"/>
      <c r="F433" s="13"/>
      <c r="G433" s="13"/>
      <c r="H433" s="13"/>
      <c r="T433" s="13"/>
      <c r="U433" s="13"/>
      <c r="V433" s="13"/>
      <c r="W433" s="13"/>
      <c r="X433" s="13"/>
      <c r="Y433" s="10"/>
      <c r="Z433" s="9"/>
      <c r="AA433" s="9"/>
      <c r="AB433" s="9"/>
      <c r="AC433" s="9"/>
      <c r="AD433" s="9"/>
      <c r="AE433" s="9"/>
      <c r="AF433" s="9"/>
      <c r="AG433" s="9"/>
      <c r="AH433" s="9"/>
      <c r="AI433" s="9"/>
    </row>
    <row r="434" spans="1:35" ht="15.75" customHeight="1" x14ac:dyDescent="0.25">
      <c r="A434" s="10"/>
      <c r="B434" s="13"/>
      <c r="C434" s="13"/>
      <c r="D434" s="13"/>
      <c r="E434" s="13"/>
      <c r="F434" s="13"/>
      <c r="G434" s="13"/>
      <c r="H434" s="13"/>
      <c r="T434" s="13"/>
      <c r="U434" s="13"/>
      <c r="V434" s="13"/>
      <c r="W434" s="13"/>
      <c r="X434" s="13"/>
      <c r="Y434" s="10"/>
      <c r="Z434" s="9"/>
      <c r="AA434" s="9"/>
      <c r="AB434" s="9"/>
      <c r="AC434" s="9"/>
      <c r="AD434" s="9"/>
      <c r="AE434" s="9"/>
      <c r="AF434" s="9"/>
      <c r="AG434" s="9"/>
      <c r="AH434" s="9"/>
      <c r="AI434" s="9"/>
    </row>
    <row r="435" spans="1:35" ht="15.75" customHeight="1" x14ac:dyDescent="0.25">
      <c r="A435" s="10"/>
      <c r="B435" s="13"/>
      <c r="C435" s="13"/>
      <c r="D435" s="13"/>
      <c r="E435" s="13"/>
      <c r="F435" s="13"/>
      <c r="G435" s="13"/>
      <c r="H435" s="13"/>
      <c r="T435" s="13"/>
      <c r="U435" s="13"/>
      <c r="V435" s="13"/>
      <c r="W435" s="13"/>
      <c r="X435" s="13"/>
      <c r="Y435" s="10"/>
      <c r="Z435" s="9"/>
      <c r="AA435" s="9"/>
      <c r="AB435" s="9"/>
      <c r="AC435" s="9"/>
      <c r="AD435" s="9"/>
      <c r="AE435" s="9"/>
      <c r="AF435" s="9"/>
      <c r="AG435" s="9"/>
      <c r="AH435" s="9"/>
      <c r="AI435" s="9"/>
    </row>
    <row r="436" spans="1:35" ht="15.75" customHeight="1" x14ac:dyDescent="0.25">
      <c r="A436" s="10"/>
      <c r="B436" s="13"/>
      <c r="C436" s="13"/>
      <c r="D436" s="13"/>
      <c r="E436" s="13"/>
      <c r="F436" s="13"/>
      <c r="G436" s="13"/>
      <c r="H436" s="13"/>
      <c r="T436" s="13"/>
      <c r="U436" s="13"/>
      <c r="V436" s="13"/>
      <c r="W436" s="13"/>
      <c r="X436" s="13"/>
      <c r="Y436" s="10"/>
      <c r="Z436" s="9"/>
      <c r="AA436" s="9"/>
      <c r="AB436" s="9"/>
      <c r="AC436" s="9"/>
      <c r="AD436" s="9"/>
      <c r="AE436" s="9"/>
      <c r="AF436" s="9"/>
      <c r="AG436" s="9"/>
      <c r="AH436" s="9"/>
      <c r="AI436" s="9"/>
    </row>
    <row r="437" spans="1:35" ht="15.75" customHeight="1" x14ac:dyDescent="0.25">
      <c r="A437" s="10"/>
      <c r="B437" s="13"/>
      <c r="C437" s="13"/>
      <c r="D437" s="13"/>
      <c r="E437" s="13"/>
      <c r="F437" s="13"/>
      <c r="G437" s="13"/>
      <c r="H437" s="13"/>
      <c r="T437" s="13"/>
      <c r="U437" s="13"/>
      <c r="V437" s="13"/>
      <c r="W437" s="13"/>
      <c r="X437" s="13"/>
      <c r="Y437" s="10"/>
      <c r="Z437" s="9"/>
      <c r="AA437" s="9"/>
      <c r="AB437" s="9"/>
      <c r="AC437" s="9"/>
      <c r="AD437" s="9"/>
      <c r="AE437" s="9"/>
      <c r="AF437" s="9"/>
      <c r="AG437" s="9"/>
      <c r="AH437" s="9"/>
      <c r="AI437" s="9"/>
    </row>
    <row r="438" spans="1:35" ht="15.75" customHeight="1" x14ac:dyDescent="0.25">
      <c r="A438" s="10"/>
      <c r="B438" s="13"/>
      <c r="C438" s="13"/>
      <c r="D438" s="13"/>
      <c r="E438" s="13"/>
      <c r="F438" s="13"/>
      <c r="G438" s="13"/>
      <c r="H438" s="13"/>
      <c r="T438" s="13"/>
      <c r="U438" s="13"/>
      <c r="V438" s="13"/>
      <c r="W438" s="13"/>
      <c r="X438" s="13"/>
      <c r="Y438" s="10"/>
      <c r="Z438" s="9"/>
      <c r="AA438" s="9"/>
      <c r="AB438" s="9"/>
      <c r="AC438" s="9"/>
      <c r="AD438" s="9"/>
      <c r="AE438" s="9"/>
      <c r="AF438" s="9"/>
      <c r="AG438" s="9"/>
      <c r="AH438" s="9"/>
      <c r="AI438" s="9"/>
    </row>
    <row r="439" spans="1:35" ht="15.75" customHeight="1" x14ac:dyDescent="0.25">
      <c r="A439" s="10"/>
      <c r="B439" s="13"/>
      <c r="C439" s="13"/>
      <c r="D439" s="13"/>
      <c r="E439" s="13"/>
      <c r="F439" s="13"/>
      <c r="G439" s="13"/>
      <c r="H439" s="13"/>
      <c r="T439" s="13"/>
      <c r="U439" s="13"/>
      <c r="V439" s="13"/>
      <c r="W439" s="13"/>
      <c r="X439" s="13"/>
      <c r="Y439" s="10"/>
      <c r="Z439" s="9"/>
      <c r="AA439" s="9"/>
      <c r="AB439" s="9"/>
      <c r="AC439" s="9"/>
      <c r="AD439" s="9"/>
      <c r="AE439" s="9"/>
      <c r="AF439" s="9"/>
      <c r="AG439" s="9"/>
      <c r="AH439" s="9"/>
      <c r="AI439" s="9"/>
    </row>
    <row r="440" spans="1:35" ht="15.75" customHeight="1" x14ac:dyDescent="0.25">
      <c r="A440" s="10"/>
      <c r="B440" s="13"/>
      <c r="C440" s="13"/>
      <c r="D440" s="13"/>
      <c r="E440" s="13"/>
      <c r="F440" s="13"/>
      <c r="G440" s="13"/>
      <c r="H440" s="13"/>
      <c r="T440" s="13"/>
      <c r="U440" s="13"/>
      <c r="V440" s="13"/>
      <c r="W440" s="13"/>
      <c r="X440" s="13"/>
      <c r="Y440" s="10"/>
      <c r="Z440" s="9"/>
      <c r="AA440" s="9"/>
      <c r="AB440" s="9"/>
      <c r="AC440" s="9"/>
      <c r="AD440" s="9"/>
      <c r="AE440" s="9"/>
      <c r="AF440" s="9"/>
      <c r="AG440" s="9"/>
      <c r="AH440" s="9"/>
      <c r="AI440" s="9"/>
    </row>
    <row r="441" spans="1:35" ht="15.75" customHeight="1" x14ac:dyDescent="0.25">
      <c r="A441" s="10"/>
      <c r="B441" s="13"/>
      <c r="C441" s="13"/>
      <c r="D441" s="13"/>
      <c r="E441" s="13"/>
      <c r="F441" s="13"/>
      <c r="G441" s="13"/>
      <c r="H441" s="13"/>
      <c r="T441" s="13"/>
      <c r="U441" s="13"/>
      <c r="V441" s="13"/>
      <c r="W441" s="13"/>
      <c r="X441" s="13"/>
      <c r="Y441" s="10"/>
      <c r="Z441" s="9"/>
      <c r="AA441" s="9"/>
      <c r="AB441" s="9"/>
      <c r="AC441" s="9"/>
      <c r="AD441" s="9"/>
      <c r="AE441" s="9"/>
      <c r="AF441" s="9"/>
      <c r="AG441" s="9"/>
      <c r="AH441" s="9"/>
      <c r="AI441" s="9"/>
    </row>
    <row r="442" spans="1:35" ht="15.75" customHeight="1" x14ac:dyDescent="0.25">
      <c r="A442" s="10"/>
      <c r="B442" s="13"/>
      <c r="C442" s="13"/>
      <c r="D442" s="13"/>
      <c r="E442" s="13"/>
      <c r="F442" s="13"/>
      <c r="G442" s="13"/>
      <c r="H442" s="13"/>
      <c r="T442" s="13"/>
      <c r="U442" s="13"/>
      <c r="V442" s="13"/>
      <c r="W442" s="13"/>
      <c r="X442" s="13"/>
      <c r="Y442" s="10"/>
      <c r="Z442" s="9"/>
      <c r="AA442" s="9"/>
      <c r="AB442" s="9"/>
      <c r="AC442" s="9"/>
      <c r="AD442" s="9"/>
      <c r="AE442" s="9"/>
      <c r="AF442" s="9"/>
      <c r="AG442" s="9"/>
      <c r="AH442" s="9"/>
      <c r="AI442" s="9"/>
    </row>
    <row r="443" spans="1:35" ht="15.75" customHeight="1" x14ac:dyDescent="0.25">
      <c r="A443" s="10"/>
      <c r="B443" s="13"/>
      <c r="C443" s="13"/>
      <c r="D443" s="13"/>
      <c r="E443" s="13"/>
      <c r="F443" s="13"/>
      <c r="G443" s="13"/>
      <c r="H443" s="13"/>
      <c r="T443" s="13"/>
      <c r="U443" s="13"/>
      <c r="V443" s="13"/>
      <c r="W443" s="13"/>
      <c r="X443" s="13"/>
      <c r="Y443" s="10"/>
      <c r="Z443" s="9"/>
      <c r="AA443" s="9"/>
      <c r="AB443" s="9"/>
      <c r="AC443" s="9"/>
      <c r="AD443" s="9"/>
      <c r="AE443" s="9"/>
      <c r="AF443" s="9"/>
      <c r="AG443" s="9"/>
      <c r="AH443" s="9"/>
      <c r="AI443" s="9"/>
    </row>
    <row r="444" spans="1:35" ht="15.75" customHeight="1" x14ac:dyDescent="0.25">
      <c r="A444" s="10"/>
      <c r="B444" s="13"/>
      <c r="C444" s="13"/>
      <c r="D444" s="13"/>
      <c r="E444" s="13"/>
      <c r="F444" s="13"/>
      <c r="G444" s="13"/>
      <c r="H444" s="13"/>
      <c r="T444" s="13"/>
      <c r="U444" s="13"/>
      <c r="V444" s="13"/>
      <c r="W444" s="13"/>
      <c r="X444" s="13"/>
      <c r="Y444" s="10"/>
      <c r="Z444" s="9"/>
      <c r="AA444" s="9"/>
      <c r="AB444" s="9"/>
      <c r="AC444" s="9"/>
      <c r="AD444" s="9"/>
      <c r="AE444" s="9"/>
      <c r="AF444" s="9"/>
      <c r="AG444" s="9"/>
      <c r="AH444" s="9"/>
      <c r="AI444" s="9"/>
    </row>
    <row r="445" spans="1:35" ht="15.75" customHeight="1" x14ac:dyDescent="0.25">
      <c r="A445" s="10"/>
      <c r="B445" s="13"/>
      <c r="C445" s="13"/>
      <c r="D445" s="13"/>
      <c r="E445" s="13"/>
      <c r="F445" s="13"/>
      <c r="G445" s="13"/>
      <c r="H445" s="13"/>
      <c r="T445" s="13"/>
      <c r="U445" s="13"/>
      <c r="V445" s="13"/>
      <c r="W445" s="13"/>
      <c r="X445" s="13"/>
      <c r="Y445" s="10"/>
      <c r="Z445" s="9"/>
      <c r="AA445" s="9"/>
      <c r="AB445" s="9"/>
      <c r="AC445" s="9"/>
      <c r="AD445" s="9"/>
      <c r="AE445" s="9"/>
      <c r="AF445" s="9"/>
      <c r="AG445" s="9"/>
      <c r="AH445" s="9"/>
      <c r="AI445" s="9"/>
    </row>
    <row r="446" spans="1:35" ht="15.75" customHeight="1" x14ac:dyDescent="0.25">
      <c r="A446" s="10"/>
      <c r="B446" s="13"/>
      <c r="C446" s="13"/>
      <c r="D446" s="13"/>
      <c r="E446" s="13"/>
      <c r="F446" s="13"/>
      <c r="G446" s="13"/>
      <c r="H446" s="13"/>
      <c r="T446" s="13"/>
      <c r="U446" s="13"/>
      <c r="V446" s="13"/>
      <c r="W446" s="13"/>
      <c r="X446" s="13"/>
      <c r="Y446" s="10"/>
      <c r="Z446" s="9"/>
      <c r="AA446" s="9"/>
      <c r="AB446" s="9"/>
      <c r="AC446" s="9"/>
      <c r="AD446" s="9"/>
      <c r="AE446" s="9"/>
      <c r="AF446" s="9"/>
      <c r="AG446" s="9"/>
      <c r="AH446" s="9"/>
      <c r="AI446" s="9"/>
    </row>
    <row r="447" spans="1:35" ht="15.75" customHeight="1" x14ac:dyDescent="0.25">
      <c r="A447" s="10"/>
      <c r="B447" s="13"/>
      <c r="C447" s="13"/>
      <c r="D447" s="13"/>
      <c r="E447" s="13"/>
      <c r="F447" s="13"/>
      <c r="G447" s="13"/>
      <c r="H447" s="13"/>
      <c r="T447" s="13"/>
      <c r="U447" s="13"/>
      <c r="V447" s="13"/>
      <c r="W447" s="13"/>
      <c r="X447" s="13"/>
      <c r="Y447" s="10"/>
      <c r="Z447" s="9"/>
      <c r="AA447" s="9"/>
      <c r="AB447" s="9"/>
      <c r="AC447" s="9"/>
      <c r="AD447" s="9"/>
      <c r="AE447" s="9"/>
      <c r="AF447" s="9"/>
      <c r="AG447" s="9"/>
      <c r="AH447" s="9"/>
      <c r="AI447" s="9"/>
    </row>
    <row r="448" spans="1:35" ht="15.75" customHeight="1" x14ac:dyDescent="0.25">
      <c r="A448" s="10"/>
      <c r="B448" s="13"/>
      <c r="C448" s="13"/>
      <c r="D448" s="13"/>
      <c r="E448" s="13"/>
      <c r="F448" s="13"/>
      <c r="G448" s="13"/>
      <c r="H448" s="13"/>
      <c r="T448" s="13"/>
      <c r="U448" s="13"/>
      <c r="V448" s="13"/>
      <c r="W448" s="13"/>
      <c r="X448" s="13"/>
      <c r="Y448" s="10"/>
      <c r="Z448" s="9"/>
      <c r="AA448" s="9"/>
      <c r="AB448" s="9"/>
      <c r="AC448" s="9"/>
      <c r="AD448" s="9"/>
      <c r="AE448" s="9"/>
      <c r="AF448" s="9"/>
      <c r="AG448" s="9"/>
      <c r="AH448" s="9"/>
      <c r="AI448" s="9"/>
    </row>
    <row r="449" spans="1:35" ht="15.75" customHeight="1" x14ac:dyDescent="0.25">
      <c r="A449" s="10"/>
      <c r="B449" s="13"/>
      <c r="C449" s="13"/>
      <c r="D449" s="13"/>
      <c r="E449" s="13"/>
      <c r="F449" s="13"/>
      <c r="G449" s="13"/>
      <c r="H449" s="13"/>
      <c r="T449" s="13"/>
      <c r="U449" s="13"/>
      <c r="V449" s="13"/>
      <c r="W449" s="13"/>
      <c r="X449" s="13"/>
      <c r="Y449" s="10"/>
      <c r="Z449" s="9"/>
      <c r="AA449" s="9"/>
      <c r="AB449" s="9"/>
      <c r="AC449" s="9"/>
      <c r="AD449" s="9"/>
      <c r="AE449" s="9"/>
      <c r="AF449" s="9"/>
      <c r="AG449" s="9"/>
      <c r="AH449" s="9"/>
      <c r="AI449" s="9"/>
    </row>
    <row r="450" spans="1:35" ht="15.75" customHeight="1" x14ac:dyDescent="0.25">
      <c r="A450" s="10"/>
      <c r="B450" s="13"/>
      <c r="C450" s="13"/>
      <c r="D450" s="13"/>
      <c r="E450" s="13"/>
      <c r="F450" s="13"/>
      <c r="G450" s="13"/>
      <c r="H450" s="13"/>
      <c r="T450" s="13"/>
      <c r="U450" s="13"/>
      <c r="V450" s="13"/>
      <c r="W450" s="13"/>
      <c r="X450" s="13"/>
      <c r="Y450" s="10"/>
      <c r="Z450" s="9"/>
      <c r="AA450" s="9"/>
      <c r="AB450" s="9"/>
      <c r="AC450" s="9"/>
      <c r="AD450" s="9"/>
      <c r="AE450" s="9"/>
      <c r="AF450" s="9"/>
      <c r="AG450" s="9"/>
      <c r="AH450" s="9"/>
      <c r="AI450" s="9"/>
    </row>
    <row r="451" spans="1:35" ht="15.75" customHeight="1" x14ac:dyDescent="0.25">
      <c r="A451" s="10"/>
      <c r="B451" s="13"/>
      <c r="C451" s="13"/>
      <c r="D451" s="13"/>
      <c r="E451" s="13"/>
      <c r="F451" s="13"/>
      <c r="G451" s="13"/>
      <c r="H451" s="13"/>
      <c r="T451" s="13"/>
      <c r="U451" s="13"/>
      <c r="V451" s="13"/>
      <c r="W451" s="13"/>
      <c r="X451" s="13"/>
      <c r="Y451" s="10"/>
      <c r="Z451" s="9"/>
      <c r="AA451" s="9"/>
      <c r="AB451" s="9"/>
      <c r="AC451" s="9"/>
      <c r="AD451" s="9"/>
      <c r="AE451" s="9"/>
      <c r="AF451" s="9"/>
      <c r="AG451" s="9"/>
      <c r="AH451" s="9"/>
      <c r="AI451" s="9"/>
    </row>
    <row r="452" spans="1:35" ht="15.75" customHeight="1" x14ac:dyDescent="0.25">
      <c r="A452" s="10"/>
      <c r="B452" s="13"/>
      <c r="C452" s="13"/>
      <c r="D452" s="13"/>
      <c r="E452" s="13"/>
      <c r="F452" s="13"/>
      <c r="G452" s="13"/>
      <c r="H452" s="13"/>
      <c r="T452" s="13"/>
      <c r="U452" s="13"/>
      <c r="V452" s="13"/>
      <c r="W452" s="13"/>
      <c r="X452" s="13"/>
      <c r="Y452" s="10"/>
      <c r="Z452" s="9"/>
      <c r="AA452" s="9"/>
      <c r="AB452" s="9"/>
      <c r="AC452" s="9"/>
      <c r="AD452" s="9"/>
      <c r="AE452" s="9"/>
      <c r="AF452" s="9"/>
      <c r="AG452" s="9"/>
      <c r="AH452" s="9"/>
      <c r="AI452" s="9"/>
    </row>
    <row r="453" spans="1:35" ht="15.75" customHeight="1" x14ac:dyDescent="0.25">
      <c r="A453" s="10"/>
      <c r="B453" s="13"/>
      <c r="C453" s="13"/>
      <c r="D453" s="13"/>
      <c r="E453" s="13"/>
      <c r="F453" s="13"/>
      <c r="G453" s="13"/>
      <c r="H453" s="13"/>
      <c r="T453" s="13"/>
      <c r="U453" s="13"/>
      <c r="V453" s="13"/>
      <c r="W453" s="13"/>
      <c r="X453" s="13"/>
      <c r="Y453" s="10"/>
      <c r="Z453" s="9"/>
      <c r="AA453" s="9"/>
      <c r="AB453" s="9"/>
      <c r="AC453" s="9"/>
      <c r="AD453" s="9"/>
      <c r="AE453" s="9"/>
      <c r="AF453" s="9"/>
      <c r="AG453" s="9"/>
      <c r="AH453" s="9"/>
      <c r="AI453" s="9"/>
    </row>
    <row r="454" spans="1:35" ht="15.75" customHeight="1" x14ac:dyDescent="0.25">
      <c r="A454" s="10"/>
      <c r="B454" s="13"/>
      <c r="C454" s="13"/>
      <c r="D454" s="13"/>
      <c r="E454" s="13"/>
      <c r="F454" s="13"/>
      <c r="G454" s="13"/>
      <c r="H454" s="13"/>
      <c r="T454" s="13"/>
      <c r="U454" s="13"/>
      <c r="V454" s="13"/>
      <c r="W454" s="13"/>
      <c r="X454" s="13"/>
      <c r="Y454" s="10"/>
      <c r="Z454" s="9"/>
      <c r="AA454" s="9"/>
      <c r="AB454" s="9"/>
      <c r="AC454" s="9"/>
      <c r="AD454" s="9"/>
      <c r="AE454" s="9"/>
      <c r="AF454" s="9"/>
      <c r="AG454" s="9"/>
      <c r="AH454" s="9"/>
      <c r="AI454" s="9"/>
    </row>
    <row r="455" spans="1:35" ht="15.75" customHeight="1" x14ac:dyDescent="0.25">
      <c r="A455" s="10"/>
      <c r="B455" s="13"/>
      <c r="C455" s="13"/>
      <c r="D455" s="13"/>
      <c r="E455" s="13"/>
      <c r="F455" s="13"/>
      <c r="G455" s="13"/>
      <c r="H455" s="13"/>
      <c r="T455" s="13"/>
      <c r="U455" s="13"/>
      <c r="V455" s="13"/>
      <c r="W455" s="13"/>
      <c r="X455" s="13"/>
      <c r="Y455" s="10"/>
      <c r="Z455" s="9"/>
      <c r="AA455" s="9"/>
      <c r="AB455" s="9"/>
      <c r="AC455" s="9"/>
      <c r="AD455" s="9"/>
      <c r="AE455" s="9"/>
      <c r="AF455" s="9"/>
      <c r="AG455" s="9"/>
      <c r="AH455" s="9"/>
      <c r="AI455" s="9"/>
    </row>
    <row r="456" spans="1:35" ht="15.75" customHeight="1" x14ac:dyDescent="0.25">
      <c r="A456" s="10"/>
      <c r="B456" s="13"/>
      <c r="C456" s="13"/>
      <c r="D456" s="13"/>
      <c r="E456" s="13"/>
      <c r="F456" s="13"/>
      <c r="G456" s="13"/>
      <c r="H456" s="13"/>
      <c r="T456" s="13"/>
      <c r="U456" s="13"/>
      <c r="V456" s="13"/>
      <c r="W456" s="13"/>
      <c r="X456" s="13"/>
      <c r="Y456" s="10"/>
      <c r="Z456" s="9"/>
      <c r="AA456" s="9"/>
      <c r="AB456" s="9"/>
      <c r="AC456" s="9"/>
      <c r="AD456" s="9"/>
      <c r="AE456" s="9"/>
      <c r="AF456" s="9"/>
      <c r="AG456" s="9"/>
      <c r="AH456" s="9"/>
      <c r="AI456" s="9"/>
    </row>
    <row r="457" spans="1:35" ht="15.75" customHeight="1" x14ac:dyDescent="0.25">
      <c r="A457" s="10"/>
      <c r="B457" s="13"/>
      <c r="C457" s="13"/>
      <c r="D457" s="13"/>
      <c r="E457" s="13"/>
      <c r="F457" s="13"/>
      <c r="G457" s="13"/>
      <c r="H457" s="13"/>
      <c r="T457" s="13"/>
      <c r="U457" s="13"/>
      <c r="V457" s="13"/>
      <c r="W457" s="13"/>
      <c r="X457" s="13"/>
      <c r="Y457" s="10"/>
      <c r="Z457" s="9"/>
      <c r="AA457" s="9"/>
      <c r="AB457" s="9"/>
      <c r="AC457" s="9"/>
      <c r="AD457" s="9"/>
      <c r="AE457" s="9"/>
      <c r="AF457" s="9"/>
      <c r="AG457" s="9"/>
      <c r="AH457" s="9"/>
      <c r="AI457" s="9"/>
    </row>
    <row r="458" spans="1:35" ht="15.75" customHeight="1" x14ac:dyDescent="0.25">
      <c r="A458" s="10"/>
      <c r="B458" s="13"/>
      <c r="C458" s="13"/>
      <c r="D458" s="13"/>
      <c r="E458" s="13"/>
      <c r="F458" s="13"/>
      <c r="G458" s="13"/>
      <c r="H458" s="13"/>
      <c r="T458" s="13"/>
      <c r="U458" s="13"/>
      <c r="V458" s="13"/>
      <c r="W458" s="13"/>
      <c r="X458" s="13"/>
      <c r="Y458" s="10"/>
      <c r="Z458" s="9"/>
      <c r="AA458" s="9"/>
      <c r="AB458" s="9"/>
      <c r="AC458" s="9"/>
      <c r="AD458" s="9"/>
      <c r="AE458" s="9"/>
      <c r="AF458" s="9"/>
      <c r="AG458" s="9"/>
      <c r="AH458" s="9"/>
      <c r="AI458" s="9"/>
    </row>
    <row r="459" spans="1:35" ht="15.75" customHeight="1" x14ac:dyDescent="0.25">
      <c r="A459" s="10"/>
      <c r="B459" s="13"/>
      <c r="C459" s="13"/>
      <c r="D459" s="13"/>
      <c r="E459" s="13"/>
      <c r="F459" s="13"/>
      <c r="G459" s="13"/>
      <c r="H459" s="13"/>
      <c r="T459" s="13"/>
      <c r="U459" s="13"/>
      <c r="V459" s="13"/>
      <c r="W459" s="13"/>
      <c r="X459" s="13"/>
      <c r="Y459" s="10"/>
      <c r="Z459" s="9"/>
      <c r="AA459" s="9"/>
      <c r="AB459" s="9"/>
      <c r="AC459" s="9"/>
      <c r="AD459" s="9"/>
      <c r="AE459" s="9"/>
      <c r="AF459" s="9"/>
      <c r="AG459" s="9"/>
      <c r="AH459" s="9"/>
      <c r="AI459" s="9"/>
    </row>
    <row r="460" spans="1:35" ht="15.75" customHeight="1" x14ac:dyDescent="0.25">
      <c r="A460" s="10"/>
      <c r="B460" s="13"/>
      <c r="C460" s="13"/>
      <c r="D460" s="13"/>
      <c r="E460" s="13"/>
      <c r="F460" s="13"/>
      <c r="G460" s="13"/>
      <c r="H460" s="13"/>
      <c r="T460" s="13"/>
      <c r="U460" s="13"/>
      <c r="V460" s="13"/>
      <c r="W460" s="13"/>
      <c r="X460" s="13"/>
      <c r="Y460" s="10"/>
      <c r="Z460" s="9"/>
      <c r="AA460" s="9"/>
      <c r="AB460" s="9"/>
      <c r="AC460" s="9"/>
      <c r="AD460" s="9"/>
      <c r="AE460" s="9"/>
      <c r="AF460" s="9"/>
      <c r="AG460" s="9"/>
      <c r="AH460" s="9"/>
      <c r="AI460" s="9"/>
    </row>
    <row r="461" spans="1:35" ht="15.75" customHeight="1" x14ac:dyDescent="0.25">
      <c r="A461" s="10"/>
      <c r="B461" s="13"/>
      <c r="C461" s="13"/>
      <c r="D461" s="13"/>
      <c r="E461" s="13"/>
      <c r="F461" s="13"/>
      <c r="G461" s="13"/>
      <c r="H461" s="13"/>
      <c r="T461" s="13"/>
      <c r="U461" s="13"/>
      <c r="V461" s="13"/>
      <c r="W461" s="13"/>
      <c r="X461" s="13"/>
      <c r="Y461" s="10"/>
      <c r="Z461" s="9"/>
      <c r="AA461" s="9"/>
      <c r="AB461" s="9"/>
      <c r="AC461" s="9"/>
      <c r="AD461" s="9"/>
      <c r="AE461" s="9"/>
      <c r="AF461" s="9"/>
      <c r="AG461" s="9"/>
      <c r="AH461" s="9"/>
      <c r="AI461" s="9"/>
    </row>
    <row r="462" spans="1:35" ht="15.75" customHeight="1" x14ac:dyDescent="0.25">
      <c r="A462" s="10"/>
      <c r="B462" s="13"/>
      <c r="C462" s="13"/>
      <c r="D462" s="13"/>
      <c r="E462" s="13"/>
      <c r="F462" s="13"/>
      <c r="G462" s="13"/>
      <c r="H462" s="13"/>
      <c r="T462" s="13"/>
      <c r="U462" s="13"/>
      <c r="V462" s="13"/>
      <c r="W462" s="13"/>
      <c r="X462" s="13"/>
      <c r="Y462" s="10"/>
      <c r="Z462" s="9"/>
      <c r="AA462" s="9"/>
      <c r="AB462" s="9"/>
      <c r="AC462" s="9"/>
      <c r="AD462" s="9"/>
      <c r="AE462" s="9"/>
      <c r="AF462" s="9"/>
      <c r="AG462" s="9"/>
      <c r="AH462" s="9"/>
      <c r="AI462" s="9"/>
    </row>
    <row r="463" spans="1:35" ht="15.75" customHeight="1" x14ac:dyDescent="0.25">
      <c r="A463" s="10"/>
      <c r="B463" s="13"/>
      <c r="C463" s="13"/>
      <c r="D463" s="13"/>
      <c r="E463" s="13"/>
      <c r="F463" s="13"/>
      <c r="G463" s="13"/>
      <c r="H463" s="13"/>
      <c r="T463" s="13"/>
      <c r="U463" s="13"/>
      <c r="V463" s="13"/>
      <c r="W463" s="13"/>
      <c r="X463" s="13"/>
      <c r="Y463" s="10"/>
      <c r="Z463" s="9"/>
      <c r="AA463" s="9"/>
      <c r="AB463" s="9"/>
      <c r="AC463" s="9"/>
      <c r="AD463" s="9"/>
      <c r="AE463" s="9"/>
      <c r="AF463" s="9"/>
      <c r="AG463" s="9"/>
      <c r="AH463" s="9"/>
      <c r="AI463" s="9"/>
    </row>
    <row r="464" spans="1:35" ht="15.75" customHeight="1" x14ac:dyDescent="0.25">
      <c r="A464" s="10"/>
      <c r="B464" s="13"/>
      <c r="C464" s="13"/>
      <c r="D464" s="13"/>
      <c r="E464" s="13"/>
      <c r="F464" s="13"/>
      <c r="G464" s="13"/>
      <c r="H464" s="13"/>
      <c r="T464" s="13"/>
      <c r="U464" s="13"/>
      <c r="V464" s="13"/>
      <c r="W464" s="13"/>
      <c r="X464" s="13"/>
      <c r="Y464" s="10"/>
      <c r="Z464" s="9"/>
      <c r="AA464" s="9"/>
      <c r="AB464" s="9"/>
      <c r="AC464" s="9"/>
      <c r="AD464" s="9"/>
      <c r="AE464" s="9"/>
      <c r="AF464" s="9"/>
      <c r="AG464" s="9"/>
      <c r="AH464" s="9"/>
      <c r="AI464" s="9"/>
    </row>
    <row r="465" spans="1:35" ht="15.75" customHeight="1" x14ac:dyDescent="0.25">
      <c r="A465" s="10"/>
      <c r="B465" s="13"/>
      <c r="C465" s="13"/>
      <c r="D465" s="13"/>
      <c r="E465" s="13"/>
      <c r="F465" s="13"/>
      <c r="G465" s="13"/>
      <c r="H465" s="13"/>
      <c r="T465" s="13"/>
      <c r="U465" s="13"/>
      <c r="V465" s="13"/>
      <c r="W465" s="13"/>
      <c r="X465" s="13"/>
      <c r="Y465" s="10"/>
      <c r="Z465" s="9"/>
      <c r="AA465" s="9"/>
      <c r="AB465" s="9"/>
      <c r="AC465" s="9"/>
      <c r="AD465" s="9"/>
      <c r="AE465" s="9"/>
      <c r="AF465" s="9"/>
      <c r="AG465" s="9"/>
      <c r="AH465" s="9"/>
      <c r="AI465" s="9"/>
    </row>
    <row r="466" spans="1:35" ht="15.75" customHeight="1" x14ac:dyDescent="0.25">
      <c r="A466" s="10"/>
      <c r="B466" s="13"/>
      <c r="C466" s="13"/>
      <c r="D466" s="13"/>
      <c r="E466" s="13"/>
      <c r="F466" s="13"/>
      <c r="G466" s="13"/>
      <c r="H466" s="13"/>
      <c r="T466" s="13"/>
      <c r="U466" s="13"/>
      <c r="V466" s="13"/>
      <c r="W466" s="13"/>
      <c r="X466" s="13"/>
      <c r="Y466" s="10"/>
      <c r="Z466" s="9"/>
      <c r="AA466" s="9"/>
      <c r="AB466" s="9"/>
      <c r="AC466" s="9"/>
      <c r="AD466" s="9"/>
      <c r="AE466" s="9"/>
      <c r="AF466" s="9"/>
      <c r="AG466" s="9"/>
      <c r="AH466" s="9"/>
      <c r="AI466" s="9"/>
    </row>
    <row r="467" spans="1:35" ht="15.75" customHeight="1" x14ac:dyDescent="0.25">
      <c r="A467" s="10"/>
      <c r="B467" s="13"/>
      <c r="C467" s="13"/>
      <c r="D467" s="13"/>
      <c r="E467" s="13"/>
      <c r="F467" s="13"/>
      <c r="G467" s="13"/>
      <c r="H467" s="13"/>
      <c r="T467" s="13"/>
      <c r="U467" s="13"/>
      <c r="V467" s="13"/>
      <c r="W467" s="13"/>
      <c r="X467" s="13"/>
      <c r="Y467" s="10"/>
      <c r="Z467" s="9"/>
      <c r="AA467" s="9"/>
      <c r="AB467" s="9"/>
      <c r="AC467" s="9"/>
      <c r="AD467" s="9"/>
      <c r="AE467" s="9"/>
      <c r="AF467" s="9"/>
      <c r="AG467" s="9"/>
      <c r="AH467" s="9"/>
      <c r="AI467" s="9"/>
    </row>
    <row r="468" spans="1:35" ht="15.75" customHeight="1" x14ac:dyDescent="0.25">
      <c r="A468" s="10"/>
      <c r="B468" s="13"/>
      <c r="C468" s="13"/>
      <c r="D468" s="13"/>
      <c r="E468" s="13"/>
      <c r="F468" s="13"/>
      <c r="G468" s="13"/>
      <c r="H468" s="13"/>
      <c r="T468" s="13"/>
      <c r="U468" s="13"/>
      <c r="V468" s="13"/>
      <c r="W468" s="13"/>
      <c r="X468" s="13"/>
      <c r="Y468" s="10"/>
      <c r="Z468" s="9"/>
      <c r="AA468" s="9"/>
      <c r="AB468" s="9"/>
      <c r="AC468" s="9"/>
      <c r="AD468" s="9"/>
      <c r="AE468" s="9"/>
      <c r="AF468" s="9"/>
      <c r="AG468" s="9"/>
      <c r="AH468" s="9"/>
      <c r="AI468" s="9"/>
    </row>
    <row r="469" spans="1:35" ht="15.75" customHeight="1" x14ac:dyDescent="0.25">
      <c r="A469" s="10"/>
      <c r="B469" s="13"/>
      <c r="C469" s="13"/>
      <c r="D469" s="13"/>
      <c r="E469" s="13"/>
      <c r="F469" s="13"/>
      <c r="G469" s="13"/>
      <c r="H469" s="13"/>
      <c r="T469" s="13"/>
      <c r="U469" s="13"/>
      <c r="V469" s="13"/>
      <c r="W469" s="13"/>
      <c r="X469" s="13"/>
      <c r="Y469" s="10"/>
      <c r="Z469" s="9"/>
      <c r="AA469" s="9"/>
      <c r="AB469" s="9"/>
      <c r="AC469" s="9"/>
      <c r="AD469" s="9"/>
      <c r="AE469" s="9"/>
      <c r="AF469" s="9"/>
      <c r="AG469" s="9"/>
      <c r="AH469" s="9"/>
      <c r="AI469" s="9"/>
    </row>
    <row r="470" spans="1:35" ht="15.75" customHeight="1" x14ac:dyDescent="0.25">
      <c r="A470" s="10"/>
      <c r="B470" s="13"/>
      <c r="C470" s="13"/>
      <c r="D470" s="13"/>
      <c r="E470" s="13"/>
      <c r="F470" s="13"/>
      <c r="G470" s="13"/>
      <c r="H470" s="13"/>
      <c r="T470" s="13"/>
      <c r="U470" s="13"/>
      <c r="V470" s="13"/>
      <c r="W470" s="13"/>
      <c r="X470" s="13"/>
      <c r="Y470" s="10"/>
      <c r="Z470" s="9"/>
      <c r="AA470" s="9"/>
      <c r="AB470" s="9"/>
      <c r="AC470" s="9"/>
      <c r="AD470" s="9"/>
      <c r="AE470" s="9"/>
      <c r="AF470" s="9"/>
      <c r="AG470" s="9"/>
      <c r="AH470" s="9"/>
      <c r="AI470" s="9"/>
    </row>
    <row r="471" spans="1:35" ht="15.75" customHeight="1" x14ac:dyDescent="0.25">
      <c r="A471" s="10"/>
      <c r="B471" s="13"/>
      <c r="C471" s="13"/>
      <c r="D471" s="13"/>
      <c r="E471" s="13"/>
      <c r="F471" s="13"/>
      <c r="G471" s="13"/>
      <c r="H471" s="13"/>
      <c r="T471" s="13"/>
      <c r="U471" s="13"/>
      <c r="V471" s="13"/>
      <c r="W471" s="13"/>
      <c r="X471" s="13"/>
      <c r="Y471" s="10"/>
      <c r="Z471" s="9"/>
      <c r="AA471" s="9"/>
      <c r="AB471" s="9"/>
      <c r="AC471" s="9"/>
      <c r="AD471" s="9"/>
      <c r="AE471" s="9"/>
      <c r="AF471" s="9"/>
      <c r="AG471" s="9"/>
      <c r="AH471" s="9"/>
      <c r="AI471" s="9"/>
    </row>
    <row r="472" spans="1:35" ht="15.75" customHeight="1" x14ac:dyDescent="0.25">
      <c r="A472" s="10"/>
      <c r="B472" s="13"/>
      <c r="C472" s="13"/>
      <c r="D472" s="13"/>
      <c r="E472" s="13"/>
      <c r="F472" s="13"/>
      <c r="G472" s="13"/>
      <c r="H472" s="13"/>
      <c r="T472" s="13"/>
      <c r="U472" s="13"/>
      <c r="V472" s="13"/>
      <c r="W472" s="13"/>
      <c r="X472" s="13"/>
      <c r="Y472" s="10"/>
      <c r="Z472" s="9"/>
      <c r="AA472" s="9"/>
      <c r="AB472" s="9"/>
      <c r="AC472" s="9"/>
      <c r="AD472" s="9"/>
      <c r="AE472" s="9"/>
      <c r="AF472" s="9"/>
      <c r="AG472" s="9"/>
      <c r="AH472" s="9"/>
      <c r="AI472" s="9"/>
    </row>
    <row r="473" spans="1:35" ht="15.75" customHeight="1" x14ac:dyDescent="0.25">
      <c r="A473" s="10"/>
      <c r="B473" s="13"/>
      <c r="C473" s="13"/>
      <c r="D473" s="13"/>
      <c r="E473" s="13"/>
      <c r="F473" s="13"/>
      <c r="G473" s="13"/>
      <c r="H473" s="13"/>
      <c r="T473" s="13"/>
      <c r="U473" s="13"/>
      <c r="V473" s="13"/>
      <c r="W473" s="13"/>
      <c r="X473" s="13"/>
      <c r="Y473" s="10"/>
      <c r="Z473" s="9"/>
      <c r="AA473" s="9"/>
      <c r="AB473" s="9"/>
      <c r="AC473" s="9"/>
      <c r="AD473" s="9"/>
      <c r="AE473" s="9"/>
      <c r="AF473" s="9"/>
      <c r="AG473" s="9"/>
      <c r="AH473" s="9"/>
      <c r="AI473" s="9"/>
    </row>
    <row r="474" spans="1:35" ht="15.75" customHeight="1" x14ac:dyDescent="0.25">
      <c r="A474" s="10"/>
      <c r="B474" s="13"/>
      <c r="C474" s="13"/>
      <c r="D474" s="13"/>
      <c r="E474" s="13"/>
      <c r="F474" s="13"/>
      <c r="G474" s="13"/>
      <c r="H474" s="13"/>
      <c r="T474" s="13"/>
      <c r="U474" s="13"/>
      <c r="V474" s="13"/>
      <c r="W474" s="13"/>
      <c r="X474" s="13"/>
      <c r="Y474" s="10"/>
      <c r="Z474" s="9"/>
      <c r="AA474" s="9"/>
      <c r="AB474" s="9"/>
      <c r="AC474" s="9"/>
      <c r="AD474" s="9"/>
      <c r="AE474" s="9"/>
      <c r="AF474" s="9"/>
      <c r="AG474" s="9"/>
      <c r="AH474" s="9"/>
      <c r="AI474" s="9"/>
    </row>
    <row r="475" spans="1:35" ht="15.75" customHeight="1" x14ac:dyDescent="0.25">
      <c r="A475" s="10"/>
      <c r="B475" s="13"/>
      <c r="C475" s="13"/>
      <c r="D475" s="13"/>
      <c r="E475" s="13"/>
      <c r="F475" s="13"/>
      <c r="G475" s="13"/>
      <c r="H475" s="13"/>
      <c r="T475" s="13"/>
      <c r="U475" s="13"/>
      <c r="V475" s="13"/>
      <c r="W475" s="13"/>
      <c r="X475" s="13"/>
      <c r="Y475" s="10"/>
      <c r="Z475" s="9"/>
      <c r="AA475" s="9"/>
      <c r="AB475" s="9"/>
      <c r="AC475" s="9"/>
      <c r="AD475" s="9"/>
      <c r="AE475" s="9"/>
      <c r="AF475" s="9"/>
      <c r="AG475" s="9"/>
      <c r="AH475" s="9"/>
      <c r="AI475" s="9"/>
    </row>
    <row r="476" spans="1:35" ht="15.75" customHeight="1" x14ac:dyDescent="0.25">
      <c r="A476" s="10"/>
      <c r="B476" s="13"/>
      <c r="C476" s="13"/>
      <c r="D476" s="13"/>
      <c r="E476" s="13"/>
      <c r="F476" s="13"/>
      <c r="G476" s="13"/>
      <c r="H476" s="13"/>
      <c r="T476" s="13"/>
      <c r="U476" s="13"/>
      <c r="V476" s="13"/>
      <c r="W476" s="13"/>
      <c r="X476" s="13"/>
      <c r="Y476" s="10"/>
      <c r="Z476" s="9"/>
      <c r="AA476" s="9"/>
      <c r="AB476" s="9"/>
      <c r="AC476" s="9"/>
      <c r="AD476" s="9"/>
      <c r="AE476" s="9"/>
      <c r="AF476" s="9"/>
      <c r="AG476" s="9"/>
      <c r="AH476" s="9"/>
      <c r="AI476" s="9"/>
    </row>
    <row r="477" spans="1:35" ht="15.75" customHeight="1" x14ac:dyDescent="0.25">
      <c r="A477" s="10"/>
      <c r="B477" s="13"/>
      <c r="C477" s="13"/>
      <c r="D477" s="13"/>
      <c r="E477" s="13"/>
      <c r="F477" s="13"/>
      <c r="G477" s="13"/>
      <c r="H477" s="13"/>
      <c r="T477" s="13"/>
      <c r="U477" s="13"/>
      <c r="V477" s="13"/>
      <c r="W477" s="13"/>
      <c r="X477" s="13"/>
      <c r="Y477" s="10"/>
      <c r="Z477" s="9"/>
      <c r="AA477" s="9"/>
      <c r="AB477" s="9"/>
      <c r="AC477" s="9"/>
      <c r="AD477" s="9"/>
      <c r="AE477" s="9"/>
      <c r="AF477" s="9"/>
      <c r="AG477" s="9"/>
      <c r="AH477" s="9"/>
      <c r="AI477" s="9"/>
    </row>
    <row r="478" spans="1:35" ht="15.75" customHeight="1" x14ac:dyDescent="0.25">
      <c r="A478" s="10"/>
      <c r="B478" s="13"/>
      <c r="C478" s="13"/>
      <c r="D478" s="13"/>
      <c r="E478" s="13"/>
      <c r="F478" s="13"/>
      <c r="G478" s="13"/>
      <c r="H478" s="13"/>
      <c r="T478" s="13"/>
      <c r="U478" s="13"/>
      <c r="V478" s="13"/>
      <c r="W478" s="13"/>
      <c r="X478" s="13"/>
      <c r="Y478" s="10"/>
      <c r="Z478" s="9"/>
      <c r="AA478" s="9"/>
      <c r="AB478" s="9"/>
      <c r="AC478" s="9"/>
      <c r="AD478" s="9"/>
      <c r="AE478" s="9"/>
      <c r="AF478" s="9"/>
      <c r="AG478" s="9"/>
      <c r="AH478" s="9"/>
      <c r="AI478" s="9"/>
    </row>
    <row r="479" spans="1:35" ht="15.75" customHeight="1" x14ac:dyDescent="0.25">
      <c r="A479" s="10"/>
      <c r="B479" s="13"/>
      <c r="C479" s="13"/>
      <c r="D479" s="13"/>
      <c r="E479" s="13"/>
      <c r="F479" s="13"/>
      <c r="G479" s="13"/>
      <c r="H479" s="13"/>
      <c r="T479" s="13"/>
      <c r="U479" s="13"/>
      <c r="V479" s="13"/>
      <c r="W479" s="13"/>
      <c r="X479" s="13"/>
      <c r="Y479" s="10"/>
      <c r="Z479" s="9"/>
      <c r="AA479" s="9"/>
      <c r="AB479" s="9"/>
      <c r="AC479" s="9"/>
      <c r="AD479" s="9"/>
      <c r="AE479" s="9"/>
      <c r="AF479" s="9"/>
      <c r="AG479" s="9"/>
      <c r="AH479" s="9"/>
      <c r="AI479" s="9"/>
    </row>
    <row r="480" spans="1:35" ht="15.75" customHeight="1" x14ac:dyDescent="0.25">
      <c r="A480" s="10"/>
      <c r="B480" s="13"/>
      <c r="C480" s="13"/>
      <c r="D480" s="13"/>
      <c r="E480" s="13"/>
      <c r="F480" s="13"/>
      <c r="G480" s="13"/>
      <c r="H480" s="13"/>
      <c r="T480" s="13"/>
      <c r="U480" s="13"/>
      <c r="V480" s="13"/>
      <c r="W480" s="13"/>
      <c r="X480" s="13"/>
      <c r="Y480" s="10"/>
      <c r="Z480" s="9"/>
      <c r="AA480" s="9"/>
      <c r="AB480" s="9"/>
      <c r="AC480" s="9"/>
      <c r="AD480" s="9"/>
      <c r="AE480" s="9"/>
      <c r="AF480" s="9"/>
      <c r="AG480" s="9"/>
      <c r="AH480" s="9"/>
      <c r="AI480" s="9"/>
    </row>
    <row r="481" spans="1:35" ht="15.75" customHeight="1" x14ac:dyDescent="0.25">
      <c r="A481" s="10"/>
      <c r="B481" s="13"/>
      <c r="C481" s="13"/>
      <c r="D481" s="13"/>
      <c r="E481" s="13"/>
      <c r="F481" s="13"/>
      <c r="G481" s="13"/>
      <c r="H481" s="13"/>
      <c r="T481" s="13"/>
      <c r="U481" s="13"/>
      <c r="V481" s="13"/>
      <c r="W481" s="13"/>
      <c r="X481" s="13"/>
      <c r="Y481" s="10"/>
      <c r="Z481" s="9"/>
      <c r="AA481" s="9"/>
      <c r="AB481" s="9"/>
      <c r="AC481" s="9"/>
      <c r="AD481" s="9"/>
      <c r="AE481" s="9"/>
      <c r="AF481" s="9"/>
      <c r="AG481" s="9"/>
      <c r="AH481" s="9"/>
      <c r="AI481" s="9"/>
    </row>
    <row r="482" spans="1:35" ht="15.75" customHeight="1" x14ac:dyDescent="0.25">
      <c r="A482" s="10"/>
      <c r="B482" s="13"/>
      <c r="C482" s="13"/>
      <c r="D482" s="13"/>
      <c r="E482" s="13"/>
      <c r="F482" s="13"/>
      <c r="G482" s="13"/>
      <c r="H482" s="13"/>
      <c r="T482" s="13"/>
      <c r="U482" s="13"/>
      <c r="V482" s="13"/>
      <c r="W482" s="13"/>
      <c r="X482" s="13"/>
      <c r="Y482" s="10"/>
      <c r="Z482" s="9"/>
      <c r="AA482" s="9"/>
      <c r="AB482" s="9"/>
      <c r="AC482" s="9"/>
      <c r="AD482" s="9"/>
      <c r="AE482" s="9"/>
      <c r="AF482" s="9"/>
      <c r="AG482" s="9"/>
      <c r="AH482" s="9"/>
      <c r="AI482" s="9"/>
    </row>
    <row r="483" spans="1:35" ht="15.75" customHeight="1" x14ac:dyDescent="0.25">
      <c r="A483" s="10"/>
      <c r="B483" s="13"/>
      <c r="C483" s="13"/>
      <c r="D483" s="13"/>
      <c r="E483" s="13"/>
      <c r="F483" s="13"/>
      <c r="G483" s="13"/>
      <c r="H483" s="13"/>
      <c r="T483" s="13"/>
      <c r="U483" s="13"/>
      <c r="V483" s="13"/>
      <c r="W483" s="13"/>
      <c r="X483" s="13"/>
      <c r="Y483" s="10"/>
      <c r="Z483" s="9"/>
      <c r="AA483" s="9"/>
      <c r="AB483" s="9"/>
      <c r="AC483" s="9"/>
      <c r="AD483" s="9"/>
      <c r="AE483" s="9"/>
      <c r="AF483" s="9"/>
      <c r="AG483" s="9"/>
      <c r="AH483" s="9"/>
      <c r="AI483" s="9"/>
    </row>
    <row r="484" spans="1:35" ht="15.75" customHeight="1" x14ac:dyDescent="0.25">
      <c r="A484" s="10"/>
      <c r="B484" s="13"/>
      <c r="C484" s="13"/>
      <c r="D484" s="13"/>
      <c r="E484" s="13"/>
      <c r="F484" s="13"/>
      <c r="G484" s="13"/>
      <c r="H484" s="13"/>
      <c r="T484" s="13"/>
      <c r="U484" s="13"/>
      <c r="V484" s="13"/>
      <c r="W484" s="13"/>
      <c r="X484" s="13"/>
      <c r="Y484" s="10"/>
      <c r="Z484" s="9"/>
      <c r="AA484" s="9"/>
      <c r="AB484" s="9"/>
      <c r="AC484" s="9"/>
      <c r="AD484" s="9"/>
      <c r="AE484" s="9"/>
      <c r="AF484" s="9"/>
      <c r="AG484" s="9"/>
      <c r="AH484" s="9"/>
      <c r="AI484" s="9"/>
    </row>
    <row r="485" spans="1:35" ht="15.75" customHeight="1" x14ac:dyDescent="0.25">
      <c r="A485" s="10"/>
      <c r="B485" s="13"/>
      <c r="C485" s="13"/>
      <c r="D485" s="13"/>
      <c r="E485" s="13"/>
      <c r="F485" s="13"/>
      <c r="G485" s="13"/>
      <c r="H485" s="13"/>
      <c r="T485" s="13"/>
      <c r="U485" s="13"/>
      <c r="V485" s="13"/>
      <c r="W485" s="13"/>
      <c r="X485" s="13"/>
      <c r="Y485" s="10"/>
      <c r="Z485" s="9"/>
      <c r="AA485" s="9"/>
      <c r="AB485" s="9"/>
      <c r="AC485" s="9"/>
      <c r="AD485" s="9"/>
      <c r="AE485" s="9"/>
      <c r="AF485" s="9"/>
      <c r="AG485" s="9"/>
      <c r="AH485" s="9"/>
      <c r="AI485" s="9"/>
    </row>
    <row r="486" spans="1:35" ht="15.75" customHeight="1" x14ac:dyDescent="0.25">
      <c r="A486" s="10"/>
      <c r="B486" s="13"/>
      <c r="C486" s="13"/>
      <c r="D486" s="13"/>
      <c r="E486" s="13"/>
      <c r="F486" s="13"/>
      <c r="G486" s="13"/>
      <c r="H486" s="13"/>
      <c r="T486" s="13"/>
      <c r="U486" s="13"/>
      <c r="V486" s="13"/>
      <c r="W486" s="13"/>
      <c r="X486" s="13"/>
      <c r="Y486" s="10"/>
      <c r="Z486" s="9"/>
      <c r="AA486" s="9"/>
      <c r="AB486" s="9"/>
      <c r="AC486" s="9"/>
      <c r="AD486" s="9"/>
      <c r="AE486" s="9"/>
      <c r="AF486" s="9"/>
      <c r="AG486" s="9"/>
      <c r="AH486" s="9"/>
      <c r="AI486" s="9"/>
    </row>
    <row r="487" spans="1:35" ht="15.75" customHeight="1" x14ac:dyDescent="0.25">
      <c r="A487" s="10"/>
      <c r="B487" s="13"/>
      <c r="C487" s="13"/>
      <c r="D487" s="13"/>
      <c r="E487" s="13"/>
      <c r="F487" s="13"/>
      <c r="G487" s="13"/>
      <c r="H487" s="13"/>
      <c r="T487" s="13"/>
      <c r="U487" s="13"/>
      <c r="V487" s="13"/>
      <c r="W487" s="13"/>
      <c r="X487" s="13"/>
      <c r="Y487" s="10"/>
      <c r="Z487" s="9"/>
      <c r="AA487" s="9"/>
      <c r="AB487" s="9"/>
      <c r="AC487" s="9"/>
      <c r="AD487" s="9"/>
      <c r="AE487" s="9"/>
      <c r="AF487" s="9"/>
      <c r="AG487" s="9"/>
      <c r="AH487" s="9"/>
      <c r="AI487" s="9"/>
    </row>
    <row r="488" spans="1:35" ht="15.75" customHeight="1" x14ac:dyDescent="0.25">
      <c r="A488" s="10"/>
      <c r="B488" s="13"/>
      <c r="C488" s="13"/>
      <c r="D488" s="13"/>
      <c r="E488" s="13"/>
      <c r="F488" s="13"/>
      <c r="G488" s="13"/>
      <c r="H488" s="13"/>
      <c r="T488" s="13"/>
      <c r="U488" s="13"/>
      <c r="V488" s="13"/>
      <c r="W488" s="13"/>
      <c r="X488" s="13"/>
      <c r="Y488" s="10"/>
      <c r="Z488" s="9"/>
      <c r="AA488" s="9"/>
      <c r="AB488" s="9"/>
      <c r="AC488" s="9"/>
      <c r="AD488" s="9"/>
      <c r="AE488" s="9"/>
      <c r="AF488" s="9"/>
      <c r="AG488" s="9"/>
      <c r="AH488" s="9"/>
      <c r="AI488" s="9"/>
    </row>
    <row r="489" spans="1:35" ht="15.75" customHeight="1" x14ac:dyDescent="0.25">
      <c r="A489" s="10"/>
      <c r="B489" s="13"/>
      <c r="C489" s="13"/>
      <c r="D489" s="13"/>
      <c r="E489" s="13"/>
      <c r="F489" s="13"/>
      <c r="G489" s="13"/>
      <c r="H489" s="13"/>
      <c r="T489" s="13"/>
      <c r="U489" s="13"/>
      <c r="V489" s="13"/>
      <c r="W489" s="13"/>
      <c r="X489" s="13"/>
      <c r="Y489" s="10"/>
      <c r="Z489" s="9"/>
      <c r="AA489" s="9"/>
      <c r="AB489" s="9"/>
      <c r="AC489" s="9"/>
      <c r="AD489" s="9"/>
      <c r="AE489" s="9"/>
      <c r="AF489" s="9"/>
      <c r="AG489" s="9"/>
      <c r="AH489" s="9"/>
      <c r="AI489" s="9"/>
    </row>
    <row r="490" spans="1:35" ht="15.75" customHeight="1" x14ac:dyDescent="0.25">
      <c r="A490" s="10"/>
      <c r="B490" s="13"/>
      <c r="C490" s="13"/>
      <c r="D490" s="13"/>
      <c r="E490" s="13"/>
      <c r="F490" s="13"/>
      <c r="G490" s="13"/>
      <c r="H490" s="13"/>
      <c r="T490" s="13"/>
      <c r="U490" s="13"/>
      <c r="V490" s="13"/>
      <c r="W490" s="13"/>
      <c r="X490" s="13"/>
      <c r="Y490" s="10"/>
      <c r="Z490" s="9"/>
      <c r="AA490" s="9"/>
      <c r="AB490" s="9"/>
      <c r="AC490" s="9"/>
      <c r="AD490" s="9"/>
      <c r="AE490" s="9"/>
      <c r="AF490" s="9"/>
      <c r="AG490" s="9"/>
      <c r="AH490" s="9"/>
      <c r="AI490" s="9"/>
    </row>
    <row r="491" spans="1:35" ht="15.75" customHeight="1" x14ac:dyDescent="0.25">
      <c r="A491" s="10"/>
      <c r="B491" s="13"/>
      <c r="C491" s="13"/>
      <c r="D491" s="13"/>
      <c r="E491" s="13"/>
      <c r="F491" s="13"/>
      <c r="G491" s="13"/>
      <c r="H491" s="13"/>
      <c r="T491" s="13"/>
      <c r="U491" s="13"/>
      <c r="V491" s="13"/>
      <c r="W491" s="13"/>
      <c r="X491" s="13"/>
      <c r="Y491" s="10"/>
      <c r="Z491" s="9"/>
      <c r="AA491" s="9"/>
      <c r="AB491" s="9"/>
      <c r="AC491" s="9"/>
      <c r="AD491" s="9"/>
      <c r="AE491" s="9"/>
      <c r="AF491" s="9"/>
      <c r="AG491" s="9"/>
      <c r="AH491" s="9"/>
      <c r="AI491" s="9"/>
    </row>
    <row r="492" spans="1:35" ht="15.75" customHeight="1" x14ac:dyDescent="0.25">
      <c r="A492" s="10"/>
      <c r="B492" s="13"/>
      <c r="C492" s="13"/>
      <c r="D492" s="13"/>
      <c r="E492" s="13"/>
      <c r="F492" s="13"/>
      <c r="G492" s="13"/>
      <c r="H492" s="13"/>
      <c r="T492" s="13"/>
      <c r="U492" s="13"/>
      <c r="V492" s="13"/>
      <c r="W492" s="13"/>
      <c r="X492" s="13"/>
      <c r="Y492" s="10"/>
      <c r="Z492" s="9"/>
      <c r="AA492" s="9"/>
      <c r="AB492" s="9"/>
      <c r="AC492" s="9"/>
      <c r="AD492" s="9"/>
      <c r="AE492" s="9"/>
      <c r="AF492" s="9"/>
      <c r="AG492" s="9"/>
      <c r="AH492" s="9"/>
      <c r="AI492" s="9"/>
    </row>
    <row r="493" spans="1:35" ht="15.75" customHeight="1" x14ac:dyDescent="0.25">
      <c r="A493" s="10"/>
      <c r="B493" s="13"/>
      <c r="C493" s="13"/>
      <c r="D493" s="13"/>
      <c r="E493" s="13"/>
      <c r="F493" s="13"/>
      <c r="G493" s="13"/>
      <c r="H493" s="13"/>
      <c r="T493" s="13"/>
      <c r="U493" s="13"/>
      <c r="V493" s="13"/>
      <c r="W493" s="13"/>
      <c r="X493" s="13"/>
      <c r="Y493" s="10"/>
      <c r="Z493" s="9"/>
      <c r="AA493" s="9"/>
      <c r="AB493" s="9"/>
      <c r="AC493" s="9"/>
      <c r="AD493" s="9"/>
      <c r="AE493" s="9"/>
      <c r="AF493" s="9"/>
      <c r="AG493" s="9"/>
      <c r="AH493" s="9"/>
      <c r="AI493" s="9"/>
    </row>
    <row r="494" spans="1:35" ht="15.75" customHeight="1" x14ac:dyDescent="0.25">
      <c r="A494" s="10"/>
      <c r="B494" s="13"/>
      <c r="C494" s="13"/>
      <c r="D494" s="13"/>
      <c r="E494" s="13"/>
      <c r="F494" s="13"/>
      <c r="G494" s="13"/>
      <c r="H494" s="13"/>
      <c r="T494" s="13"/>
      <c r="U494" s="13"/>
      <c r="V494" s="13"/>
      <c r="W494" s="13"/>
      <c r="X494" s="13"/>
      <c r="Y494" s="10"/>
      <c r="Z494" s="9"/>
      <c r="AA494" s="9"/>
      <c r="AB494" s="9"/>
      <c r="AC494" s="9"/>
      <c r="AD494" s="9"/>
      <c r="AE494" s="9"/>
      <c r="AF494" s="9"/>
      <c r="AG494" s="9"/>
      <c r="AH494" s="9"/>
      <c r="AI494" s="9"/>
    </row>
    <row r="495" spans="1:35" ht="15.75" customHeight="1" x14ac:dyDescent="0.25">
      <c r="A495" s="10"/>
      <c r="B495" s="13"/>
      <c r="C495" s="13"/>
      <c r="D495" s="13"/>
      <c r="E495" s="13"/>
      <c r="F495" s="13"/>
      <c r="G495" s="13"/>
      <c r="H495" s="13"/>
      <c r="T495" s="13"/>
      <c r="U495" s="13"/>
      <c r="V495" s="13"/>
      <c r="W495" s="13"/>
      <c r="X495" s="13"/>
      <c r="Y495" s="10"/>
      <c r="Z495" s="9"/>
      <c r="AA495" s="9"/>
      <c r="AB495" s="9"/>
      <c r="AC495" s="9"/>
      <c r="AD495" s="9"/>
      <c r="AE495" s="9"/>
      <c r="AF495" s="9"/>
      <c r="AG495" s="9"/>
      <c r="AH495" s="9"/>
      <c r="AI495" s="9"/>
    </row>
    <row r="496" spans="1:35" ht="15.75" customHeight="1" x14ac:dyDescent="0.25">
      <c r="A496" s="10"/>
      <c r="B496" s="13"/>
      <c r="C496" s="13"/>
      <c r="D496" s="13"/>
      <c r="E496" s="13"/>
      <c r="F496" s="13"/>
      <c r="G496" s="13"/>
      <c r="H496" s="13"/>
      <c r="T496" s="13"/>
      <c r="U496" s="13"/>
      <c r="V496" s="13"/>
      <c r="W496" s="13"/>
      <c r="X496" s="13"/>
      <c r="Y496" s="10"/>
      <c r="Z496" s="9"/>
      <c r="AA496" s="9"/>
      <c r="AB496" s="9"/>
      <c r="AC496" s="9"/>
      <c r="AD496" s="9"/>
      <c r="AE496" s="9"/>
      <c r="AF496" s="9"/>
      <c r="AG496" s="9"/>
      <c r="AH496" s="9"/>
      <c r="AI496" s="9"/>
    </row>
    <row r="497" spans="1:35" ht="15.75" customHeight="1" x14ac:dyDescent="0.25">
      <c r="A497" s="10"/>
      <c r="B497" s="13"/>
      <c r="C497" s="13"/>
      <c r="D497" s="13"/>
      <c r="E497" s="13"/>
      <c r="F497" s="13"/>
      <c r="G497" s="13"/>
      <c r="H497" s="13"/>
      <c r="T497" s="13"/>
      <c r="U497" s="13"/>
      <c r="V497" s="13"/>
      <c r="W497" s="13"/>
      <c r="X497" s="13"/>
      <c r="Y497" s="10"/>
      <c r="Z497" s="9"/>
      <c r="AA497" s="9"/>
      <c r="AB497" s="9"/>
      <c r="AC497" s="9"/>
      <c r="AD497" s="9"/>
      <c r="AE497" s="9"/>
      <c r="AF497" s="9"/>
      <c r="AG497" s="9"/>
      <c r="AH497" s="9"/>
      <c r="AI497" s="9"/>
    </row>
    <row r="498" spans="1:35" ht="15.75" customHeight="1" x14ac:dyDescent="0.25">
      <c r="A498" s="10"/>
      <c r="B498" s="13"/>
      <c r="C498" s="13"/>
      <c r="D498" s="13"/>
      <c r="E498" s="13"/>
      <c r="F498" s="13"/>
      <c r="G498" s="13"/>
      <c r="H498" s="13"/>
      <c r="T498" s="13"/>
      <c r="U498" s="13"/>
      <c r="V498" s="13"/>
      <c r="W498" s="13"/>
      <c r="X498" s="13"/>
      <c r="Y498" s="10"/>
      <c r="Z498" s="9"/>
      <c r="AA498" s="9"/>
      <c r="AB498" s="9"/>
      <c r="AC498" s="9"/>
      <c r="AD498" s="9"/>
      <c r="AE498" s="9"/>
      <c r="AF498" s="9"/>
      <c r="AG498" s="9"/>
      <c r="AH498" s="9"/>
      <c r="AI498" s="9"/>
    </row>
    <row r="499" spans="1:35" ht="15.75" customHeight="1" x14ac:dyDescent="0.25">
      <c r="A499" s="10"/>
      <c r="B499" s="13"/>
      <c r="C499" s="13"/>
      <c r="D499" s="13"/>
      <c r="E499" s="13"/>
      <c r="F499" s="13"/>
      <c r="G499" s="13"/>
      <c r="H499" s="13"/>
      <c r="T499" s="13"/>
      <c r="U499" s="13"/>
      <c r="V499" s="13"/>
      <c r="W499" s="13"/>
      <c r="X499" s="13"/>
      <c r="Y499" s="10"/>
      <c r="Z499" s="9"/>
      <c r="AA499" s="9"/>
      <c r="AB499" s="9"/>
      <c r="AC499" s="9"/>
      <c r="AD499" s="9"/>
      <c r="AE499" s="9"/>
      <c r="AF499" s="9"/>
      <c r="AG499" s="9"/>
      <c r="AH499" s="9"/>
      <c r="AI499" s="9"/>
    </row>
    <row r="500" spans="1:35" ht="15.75" customHeight="1" x14ac:dyDescent="0.25">
      <c r="A500" s="10"/>
      <c r="B500" s="13"/>
      <c r="C500" s="13"/>
      <c r="D500" s="13"/>
      <c r="E500" s="13"/>
      <c r="F500" s="13"/>
      <c r="G500" s="13"/>
      <c r="H500" s="13"/>
      <c r="T500" s="13"/>
      <c r="U500" s="13"/>
      <c r="V500" s="13"/>
      <c r="W500" s="13"/>
      <c r="X500" s="13"/>
      <c r="Y500" s="10"/>
      <c r="Z500" s="9"/>
      <c r="AA500" s="9"/>
      <c r="AB500" s="9"/>
      <c r="AC500" s="9"/>
      <c r="AD500" s="9"/>
      <c r="AE500" s="9"/>
      <c r="AF500" s="9"/>
      <c r="AG500" s="9"/>
      <c r="AH500" s="9"/>
      <c r="AI500" s="9"/>
    </row>
    <row r="501" spans="1:35" ht="15.75" customHeight="1" x14ac:dyDescent="0.25">
      <c r="A501" s="10"/>
      <c r="B501" s="13"/>
      <c r="C501" s="13"/>
      <c r="D501" s="13"/>
      <c r="E501" s="13"/>
      <c r="F501" s="13"/>
      <c r="G501" s="13"/>
      <c r="H501" s="13"/>
      <c r="T501" s="13"/>
      <c r="U501" s="13"/>
      <c r="V501" s="13"/>
      <c r="W501" s="13"/>
      <c r="X501" s="13"/>
      <c r="Y501" s="10"/>
      <c r="Z501" s="9"/>
      <c r="AA501" s="9"/>
      <c r="AB501" s="9"/>
      <c r="AC501" s="9"/>
      <c r="AD501" s="9"/>
      <c r="AE501" s="9"/>
      <c r="AF501" s="9"/>
      <c r="AG501" s="9"/>
      <c r="AH501" s="9"/>
      <c r="AI501" s="9"/>
    </row>
    <row r="502" spans="1:35" ht="15.75" customHeight="1" x14ac:dyDescent="0.25">
      <c r="A502" s="10"/>
      <c r="B502" s="13"/>
      <c r="C502" s="13"/>
      <c r="D502" s="13"/>
      <c r="E502" s="13"/>
      <c r="F502" s="13"/>
      <c r="G502" s="13"/>
      <c r="H502" s="13"/>
      <c r="T502" s="13"/>
      <c r="U502" s="13"/>
      <c r="V502" s="13"/>
      <c r="W502" s="13"/>
      <c r="X502" s="13"/>
      <c r="Y502" s="10"/>
      <c r="Z502" s="9"/>
      <c r="AA502" s="9"/>
      <c r="AB502" s="9"/>
      <c r="AC502" s="9"/>
      <c r="AD502" s="9"/>
      <c r="AE502" s="9"/>
      <c r="AF502" s="9"/>
      <c r="AG502" s="9"/>
      <c r="AH502" s="9"/>
      <c r="AI502" s="9"/>
    </row>
    <row r="503" spans="1:35" ht="15.75" customHeight="1" x14ac:dyDescent="0.25">
      <c r="A503" s="10"/>
      <c r="B503" s="13"/>
      <c r="C503" s="13"/>
      <c r="D503" s="13"/>
      <c r="E503" s="13"/>
      <c r="F503" s="13"/>
      <c r="G503" s="13"/>
      <c r="H503" s="13"/>
      <c r="T503" s="13"/>
      <c r="U503" s="13"/>
      <c r="V503" s="13"/>
      <c r="W503" s="13"/>
      <c r="X503" s="13"/>
      <c r="Y503" s="10"/>
      <c r="Z503" s="9"/>
      <c r="AA503" s="9"/>
      <c r="AB503" s="9"/>
      <c r="AC503" s="9"/>
      <c r="AD503" s="9"/>
      <c r="AE503" s="9"/>
      <c r="AF503" s="9"/>
      <c r="AG503" s="9"/>
      <c r="AH503" s="9"/>
      <c r="AI503" s="9"/>
    </row>
    <row r="504" spans="1:35" ht="15.75" customHeight="1" x14ac:dyDescent="0.25">
      <c r="A504" s="10"/>
      <c r="B504" s="13"/>
      <c r="C504" s="13"/>
      <c r="D504" s="13"/>
      <c r="E504" s="13"/>
      <c r="F504" s="13"/>
      <c r="G504" s="13"/>
      <c r="H504" s="13"/>
      <c r="T504" s="13"/>
      <c r="U504" s="13"/>
      <c r="V504" s="13"/>
      <c r="W504" s="13"/>
      <c r="X504" s="13"/>
      <c r="Y504" s="10"/>
      <c r="Z504" s="9"/>
      <c r="AA504" s="9"/>
      <c r="AB504" s="9"/>
      <c r="AC504" s="9"/>
      <c r="AD504" s="9"/>
      <c r="AE504" s="9"/>
      <c r="AF504" s="9"/>
      <c r="AG504" s="9"/>
      <c r="AH504" s="9"/>
      <c r="AI504" s="9"/>
    </row>
    <row r="505" spans="1:35" ht="15.75" customHeight="1" x14ac:dyDescent="0.25">
      <c r="A505" s="10"/>
      <c r="B505" s="13"/>
      <c r="C505" s="13"/>
      <c r="D505" s="13"/>
      <c r="E505" s="13"/>
      <c r="F505" s="13"/>
      <c r="G505" s="13"/>
      <c r="H505" s="13"/>
      <c r="T505" s="13"/>
      <c r="U505" s="13"/>
      <c r="V505" s="13"/>
      <c r="W505" s="13"/>
      <c r="X505" s="13"/>
      <c r="Y505" s="10"/>
      <c r="Z505" s="9"/>
      <c r="AA505" s="9"/>
      <c r="AB505" s="9"/>
      <c r="AC505" s="9"/>
      <c r="AD505" s="9"/>
      <c r="AE505" s="9"/>
      <c r="AF505" s="9"/>
      <c r="AG505" s="9"/>
      <c r="AH505" s="9"/>
      <c r="AI505" s="9"/>
    </row>
    <row r="506" spans="1:35" ht="15.75" customHeight="1" x14ac:dyDescent="0.25">
      <c r="A506" s="10"/>
      <c r="B506" s="13"/>
      <c r="C506" s="13"/>
      <c r="D506" s="13"/>
      <c r="E506" s="13"/>
      <c r="F506" s="13"/>
      <c r="G506" s="13"/>
      <c r="H506" s="13"/>
      <c r="T506" s="13"/>
      <c r="U506" s="13"/>
      <c r="V506" s="13"/>
      <c r="W506" s="13"/>
      <c r="X506" s="13"/>
      <c r="Y506" s="10"/>
      <c r="Z506" s="9"/>
      <c r="AA506" s="9"/>
      <c r="AB506" s="9"/>
      <c r="AC506" s="9"/>
      <c r="AD506" s="9"/>
      <c r="AE506" s="9"/>
      <c r="AF506" s="9"/>
      <c r="AG506" s="9"/>
      <c r="AH506" s="9"/>
      <c r="AI506" s="9"/>
    </row>
    <row r="507" spans="1:35" ht="15.75" customHeight="1" x14ac:dyDescent="0.25">
      <c r="A507" s="10"/>
      <c r="B507" s="13"/>
      <c r="C507" s="13"/>
      <c r="D507" s="13"/>
      <c r="E507" s="13"/>
      <c r="F507" s="13"/>
      <c r="G507" s="13"/>
      <c r="H507" s="13"/>
      <c r="T507" s="13"/>
      <c r="U507" s="13"/>
      <c r="V507" s="13"/>
      <c r="W507" s="13"/>
      <c r="X507" s="13"/>
      <c r="Y507" s="10"/>
      <c r="Z507" s="9"/>
      <c r="AA507" s="9"/>
      <c r="AB507" s="9"/>
      <c r="AC507" s="9"/>
      <c r="AD507" s="9"/>
      <c r="AE507" s="9"/>
      <c r="AF507" s="9"/>
      <c r="AG507" s="9"/>
      <c r="AH507" s="9"/>
      <c r="AI507" s="9"/>
    </row>
    <row r="508" spans="1:35" ht="15.75" customHeight="1" x14ac:dyDescent="0.25">
      <c r="A508" s="10"/>
      <c r="B508" s="13"/>
      <c r="C508" s="13"/>
      <c r="D508" s="13"/>
      <c r="E508" s="13"/>
      <c r="F508" s="13"/>
      <c r="G508" s="13"/>
      <c r="H508" s="13"/>
      <c r="T508" s="13"/>
      <c r="U508" s="13"/>
      <c r="V508" s="13"/>
      <c r="W508" s="13"/>
      <c r="X508" s="13"/>
      <c r="Y508" s="10"/>
      <c r="Z508" s="9"/>
      <c r="AA508" s="9"/>
      <c r="AB508" s="9"/>
      <c r="AC508" s="9"/>
      <c r="AD508" s="9"/>
      <c r="AE508" s="9"/>
      <c r="AF508" s="9"/>
      <c r="AG508" s="9"/>
      <c r="AH508" s="9"/>
      <c r="AI508" s="9"/>
    </row>
    <row r="509" spans="1:35" ht="15.75" customHeight="1" x14ac:dyDescent="0.25">
      <c r="A509" s="10"/>
      <c r="B509" s="13"/>
      <c r="C509" s="13"/>
      <c r="D509" s="13"/>
      <c r="E509" s="13"/>
      <c r="F509" s="13"/>
      <c r="G509" s="13"/>
      <c r="H509" s="13"/>
      <c r="T509" s="13"/>
      <c r="U509" s="13"/>
      <c r="V509" s="13"/>
      <c r="W509" s="13"/>
      <c r="X509" s="13"/>
      <c r="Y509" s="10"/>
      <c r="Z509" s="9"/>
      <c r="AA509" s="9"/>
      <c r="AB509" s="9"/>
      <c r="AC509" s="9"/>
      <c r="AD509" s="9"/>
      <c r="AE509" s="9"/>
      <c r="AF509" s="9"/>
      <c r="AG509" s="9"/>
      <c r="AH509" s="9"/>
      <c r="AI509" s="9"/>
    </row>
    <row r="510" spans="1:35" ht="15.75" customHeight="1" x14ac:dyDescent="0.25">
      <c r="A510" s="10"/>
      <c r="B510" s="13"/>
      <c r="C510" s="13"/>
      <c r="D510" s="13"/>
      <c r="E510" s="13"/>
      <c r="F510" s="13"/>
      <c r="G510" s="13"/>
      <c r="H510" s="13"/>
      <c r="T510" s="13"/>
      <c r="U510" s="13"/>
      <c r="V510" s="13"/>
      <c r="W510" s="13"/>
      <c r="X510" s="13"/>
      <c r="Y510" s="10"/>
      <c r="Z510" s="9"/>
      <c r="AA510" s="9"/>
      <c r="AB510" s="9"/>
      <c r="AC510" s="9"/>
      <c r="AD510" s="9"/>
      <c r="AE510" s="9"/>
      <c r="AF510" s="9"/>
      <c r="AG510" s="9"/>
      <c r="AH510" s="9"/>
      <c r="AI510" s="9"/>
    </row>
    <row r="511" spans="1:35" ht="15.75" customHeight="1" x14ac:dyDescent="0.25">
      <c r="A511" s="10"/>
      <c r="B511" s="13"/>
      <c r="C511" s="13"/>
      <c r="D511" s="13"/>
      <c r="E511" s="13"/>
      <c r="F511" s="13"/>
      <c r="G511" s="13"/>
      <c r="H511" s="13"/>
      <c r="T511" s="13"/>
      <c r="U511" s="13"/>
      <c r="V511" s="13"/>
      <c r="W511" s="13"/>
      <c r="X511" s="13"/>
      <c r="Y511" s="10"/>
      <c r="Z511" s="9"/>
      <c r="AA511" s="9"/>
      <c r="AB511" s="9"/>
      <c r="AC511" s="9"/>
      <c r="AD511" s="9"/>
      <c r="AE511" s="9"/>
      <c r="AF511" s="9"/>
      <c r="AG511" s="9"/>
      <c r="AH511" s="9"/>
      <c r="AI511" s="9"/>
    </row>
    <row r="512" spans="1:35" ht="15.75" customHeight="1" x14ac:dyDescent="0.25">
      <c r="A512" s="10"/>
      <c r="B512" s="13"/>
      <c r="C512" s="13"/>
      <c r="D512" s="13"/>
      <c r="E512" s="13"/>
      <c r="F512" s="13"/>
      <c r="G512" s="13"/>
      <c r="H512" s="13"/>
      <c r="T512" s="13"/>
      <c r="U512" s="13"/>
      <c r="V512" s="13"/>
      <c r="W512" s="13"/>
      <c r="X512" s="13"/>
      <c r="Y512" s="10"/>
      <c r="Z512" s="9"/>
      <c r="AA512" s="9"/>
      <c r="AB512" s="9"/>
      <c r="AC512" s="9"/>
      <c r="AD512" s="9"/>
      <c r="AE512" s="9"/>
      <c r="AF512" s="9"/>
      <c r="AG512" s="9"/>
      <c r="AH512" s="9"/>
      <c r="AI512" s="9"/>
    </row>
    <row r="513" spans="1:35" ht="15.75" customHeight="1" x14ac:dyDescent="0.25">
      <c r="A513" s="10"/>
      <c r="B513" s="13"/>
      <c r="C513" s="13"/>
      <c r="D513" s="13"/>
      <c r="E513" s="13"/>
      <c r="F513" s="13"/>
      <c r="G513" s="13"/>
      <c r="H513" s="13"/>
      <c r="T513" s="13"/>
      <c r="U513" s="13"/>
      <c r="V513" s="13"/>
      <c r="W513" s="13"/>
      <c r="X513" s="13"/>
      <c r="Y513" s="10"/>
      <c r="Z513" s="9"/>
      <c r="AA513" s="9"/>
      <c r="AB513" s="9"/>
      <c r="AC513" s="9"/>
      <c r="AD513" s="9"/>
      <c r="AE513" s="9"/>
      <c r="AF513" s="9"/>
      <c r="AG513" s="9"/>
      <c r="AH513" s="9"/>
      <c r="AI513" s="9"/>
    </row>
    <row r="514" spans="1:35" ht="15.75" customHeight="1" x14ac:dyDescent="0.25">
      <c r="A514" s="10"/>
      <c r="B514" s="13"/>
      <c r="C514" s="13"/>
      <c r="D514" s="13"/>
      <c r="E514" s="13"/>
      <c r="F514" s="13"/>
      <c r="G514" s="13"/>
      <c r="H514" s="13"/>
      <c r="T514" s="13"/>
      <c r="U514" s="13"/>
      <c r="V514" s="13"/>
      <c r="W514" s="13"/>
      <c r="X514" s="13"/>
      <c r="Y514" s="10"/>
      <c r="Z514" s="9"/>
      <c r="AA514" s="9"/>
      <c r="AB514" s="9"/>
      <c r="AC514" s="9"/>
      <c r="AD514" s="9"/>
      <c r="AE514" s="9"/>
      <c r="AF514" s="9"/>
      <c r="AG514" s="9"/>
      <c r="AH514" s="9"/>
      <c r="AI514" s="9"/>
    </row>
    <row r="515" spans="1:35" ht="15.75" customHeight="1" x14ac:dyDescent="0.25">
      <c r="A515" s="10"/>
      <c r="B515" s="13"/>
      <c r="C515" s="13"/>
      <c r="D515" s="13"/>
      <c r="E515" s="13"/>
      <c r="F515" s="13"/>
      <c r="G515" s="13"/>
      <c r="H515" s="13"/>
      <c r="T515" s="13"/>
      <c r="U515" s="13"/>
      <c r="V515" s="13"/>
      <c r="W515" s="13"/>
      <c r="X515" s="13"/>
      <c r="Y515" s="10"/>
      <c r="Z515" s="9"/>
      <c r="AA515" s="9"/>
      <c r="AB515" s="9"/>
      <c r="AC515" s="9"/>
      <c r="AD515" s="9"/>
      <c r="AE515" s="9"/>
      <c r="AF515" s="9"/>
      <c r="AG515" s="9"/>
      <c r="AH515" s="9"/>
      <c r="AI515" s="9"/>
    </row>
    <row r="516" spans="1:35" ht="15.75" customHeight="1" x14ac:dyDescent="0.25">
      <c r="A516" s="10"/>
      <c r="B516" s="13"/>
      <c r="C516" s="13"/>
      <c r="D516" s="13"/>
      <c r="E516" s="13"/>
      <c r="F516" s="13"/>
      <c r="G516" s="13"/>
      <c r="H516" s="13"/>
      <c r="T516" s="13"/>
      <c r="U516" s="13"/>
      <c r="V516" s="13"/>
      <c r="W516" s="13"/>
      <c r="X516" s="13"/>
      <c r="Y516" s="10"/>
      <c r="Z516" s="9"/>
      <c r="AA516" s="9"/>
      <c r="AB516" s="9"/>
      <c r="AC516" s="9"/>
      <c r="AD516" s="9"/>
      <c r="AE516" s="9"/>
      <c r="AF516" s="9"/>
      <c r="AG516" s="9"/>
      <c r="AH516" s="9"/>
      <c r="AI516" s="9"/>
    </row>
    <row r="517" spans="1:35" ht="15.75" customHeight="1" x14ac:dyDescent="0.25">
      <c r="A517" s="10"/>
      <c r="B517" s="13"/>
      <c r="C517" s="13"/>
      <c r="D517" s="13"/>
      <c r="E517" s="13"/>
      <c r="F517" s="13"/>
      <c r="G517" s="13"/>
      <c r="H517" s="13"/>
      <c r="T517" s="13"/>
      <c r="U517" s="13"/>
      <c r="V517" s="13"/>
      <c r="W517" s="13"/>
      <c r="X517" s="13"/>
      <c r="Y517" s="10"/>
      <c r="Z517" s="9"/>
      <c r="AA517" s="9"/>
      <c r="AB517" s="9"/>
      <c r="AC517" s="9"/>
      <c r="AD517" s="9"/>
      <c r="AE517" s="9"/>
      <c r="AF517" s="9"/>
      <c r="AG517" s="9"/>
      <c r="AH517" s="9"/>
      <c r="AI517" s="9"/>
    </row>
    <row r="518" spans="1:35" ht="15.75" customHeight="1" x14ac:dyDescent="0.25">
      <c r="A518" s="10"/>
      <c r="B518" s="13"/>
      <c r="C518" s="13"/>
      <c r="D518" s="13"/>
      <c r="E518" s="13"/>
      <c r="F518" s="13"/>
      <c r="G518" s="13"/>
      <c r="H518" s="13"/>
      <c r="T518" s="13"/>
      <c r="U518" s="13"/>
      <c r="V518" s="13"/>
      <c r="W518" s="13"/>
      <c r="X518" s="13"/>
      <c r="Y518" s="10"/>
      <c r="Z518" s="9"/>
      <c r="AA518" s="9"/>
      <c r="AB518" s="9"/>
      <c r="AC518" s="9"/>
      <c r="AD518" s="9"/>
      <c r="AE518" s="9"/>
      <c r="AF518" s="9"/>
      <c r="AG518" s="9"/>
      <c r="AH518" s="9"/>
      <c r="AI518" s="9"/>
    </row>
    <row r="519" spans="1:35" ht="15.75" customHeight="1" x14ac:dyDescent="0.25">
      <c r="A519" s="10"/>
      <c r="B519" s="13"/>
      <c r="C519" s="13"/>
      <c r="D519" s="13"/>
      <c r="E519" s="13"/>
      <c r="F519" s="13"/>
      <c r="G519" s="13"/>
      <c r="H519" s="13"/>
      <c r="T519" s="13"/>
      <c r="U519" s="13"/>
      <c r="V519" s="13"/>
      <c r="W519" s="13"/>
      <c r="X519" s="13"/>
      <c r="Y519" s="10"/>
      <c r="Z519" s="9"/>
      <c r="AA519" s="9"/>
      <c r="AB519" s="9"/>
      <c r="AC519" s="9"/>
      <c r="AD519" s="9"/>
      <c r="AE519" s="9"/>
      <c r="AF519" s="9"/>
      <c r="AG519" s="9"/>
      <c r="AH519" s="9"/>
      <c r="AI519" s="9"/>
    </row>
    <row r="520" spans="1:35" ht="15.75" customHeight="1" x14ac:dyDescent="0.25">
      <c r="A520" s="10"/>
      <c r="B520" s="13"/>
      <c r="C520" s="13"/>
      <c r="D520" s="13"/>
      <c r="E520" s="13"/>
      <c r="F520" s="13"/>
      <c r="G520" s="13"/>
      <c r="H520" s="13"/>
      <c r="T520" s="13"/>
      <c r="U520" s="13"/>
      <c r="V520" s="13"/>
      <c r="W520" s="13"/>
      <c r="X520" s="13"/>
      <c r="Y520" s="10"/>
      <c r="Z520" s="9"/>
      <c r="AA520" s="9"/>
      <c r="AB520" s="9"/>
      <c r="AC520" s="9"/>
      <c r="AD520" s="9"/>
      <c r="AE520" s="9"/>
      <c r="AF520" s="9"/>
      <c r="AG520" s="9"/>
      <c r="AH520" s="9"/>
      <c r="AI520" s="9"/>
    </row>
    <row r="521" spans="1:35" ht="15.75" customHeight="1" x14ac:dyDescent="0.25">
      <c r="A521" s="10"/>
      <c r="B521" s="13"/>
      <c r="C521" s="13"/>
      <c r="D521" s="13"/>
      <c r="E521" s="13"/>
      <c r="F521" s="13"/>
      <c r="G521" s="13"/>
      <c r="H521" s="13"/>
      <c r="T521" s="13"/>
      <c r="U521" s="13"/>
      <c r="V521" s="13"/>
      <c r="W521" s="13"/>
      <c r="X521" s="13"/>
      <c r="Y521" s="10"/>
      <c r="Z521" s="9"/>
      <c r="AA521" s="9"/>
      <c r="AB521" s="9"/>
      <c r="AC521" s="9"/>
      <c r="AD521" s="9"/>
      <c r="AE521" s="9"/>
      <c r="AF521" s="9"/>
      <c r="AG521" s="9"/>
      <c r="AH521" s="9"/>
      <c r="AI521" s="9"/>
    </row>
    <row r="522" spans="1:35" ht="15.75" customHeight="1" x14ac:dyDescent="0.25">
      <c r="A522" s="10"/>
      <c r="B522" s="13"/>
      <c r="C522" s="13"/>
      <c r="D522" s="13"/>
      <c r="E522" s="13"/>
      <c r="F522" s="13"/>
      <c r="G522" s="13"/>
      <c r="H522" s="13"/>
      <c r="T522" s="13"/>
      <c r="U522" s="13"/>
      <c r="V522" s="13"/>
      <c r="W522" s="13"/>
      <c r="X522" s="13"/>
      <c r="Y522" s="10"/>
      <c r="Z522" s="9"/>
      <c r="AA522" s="9"/>
      <c r="AB522" s="9"/>
      <c r="AC522" s="9"/>
      <c r="AD522" s="9"/>
      <c r="AE522" s="9"/>
      <c r="AF522" s="9"/>
      <c r="AG522" s="9"/>
      <c r="AH522" s="9"/>
      <c r="AI522" s="9"/>
    </row>
    <row r="523" spans="1:35" ht="15.75" customHeight="1" x14ac:dyDescent="0.25">
      <c r="A523" s="10"/>
      <c r="B523" s="13"/>
      <c r="C523" s="13"/>
      <c r="D523" s="13"/>
      <c r="E523" s="13"/>
      <c r="F523" s="13"/>
      <c r="G523" s="13"/>
      <c r="H523" s="13"/>
      <c r="T523" s="13"/>
      <c r="U523" s="13"/>
      <c r="V523" s="13"/>
      <c r="W523" s="13"/>
      <c r="X523" s="13"/>
      <c r="Y523" s="10"/>
      <c r="Z523" s="9"/>
      <c r="AA523" s="9"/>
      <c r="AB523" s="9"/>
      <c r="AC523" s="9"/>
      <c r="AD523" s="9"/>
      <c r="AE523" s="9"/>
      <c r="AF523" s="9"/>
      <c r="AG523" s="9"/>
      <c r="AH523" s="9"/>
      <c r="AI523" s="9"/>
    </row>
    <row r="524" spans="1:35" ht="15.75" customHeight="1" x14ac:dyDescent="0.25">
      <c r="A524" s="10"/>
      <c r="B524" s="13"/>
      <c r="C524" s="13"/>
      <c r="D524" s="13"/>
      <c r="E524" s="13"/>
      <c r="F524" s="13"/>
      <c r="G524" s="13"/>
      <c r="H524" s="13"/>
      <c r="T524" s="13"/>
      <c r="U524" s="13"/>
      <c r="V524" s="13"/>
      <c r="W524" s="13"/>
      <c r="X524" s="13"/>
      <c r="Y524" s="10"/>
      <c r="Z524" s="9"/>
      <c r="AA524" s="9"/>
      <c r="AB524" s="9"/>
      <c r="AC524" s="9"/>
      <c r="AD524" s="9"/>
      <c r="AE524" s="9"/>
      <c r="AF524" s="9"/>
      <c r="AG524" s="9"/>
      <c r="AH524" s="9"/>
      <c r="AI524" s="9"/>
    </row>
    <row r="525" spans="1:35" ht="15.75" customHeight="1" x14ac:dyDescent="0.25">
      <c r="A525" s="10"/>
      <c r="B525" s="13"/>
      <c r="C525" s="13"/>
      <c r="D525" s="13"/>
      <c r="E525" s="13"/>
      <c r="F525" s="13"/>
      <c r="G525" s="13"/>
      <c r="H525" s="13"/>
      <c r="T525" s="13"/>
      <c r="U525" s="13"/>
      <c r="V525" s="13"/>
      <c r="W525" s="13"/>
      <c r="X525" s="13"/>
      <c r="Y525" s="10"/>
      <c r="Z525" s="9"/>
      <c r="AA525" s="9"/>
      <c r="AB525" s="9"/>
      <c r="AC525" s="9"/>
      <c r="AD525" s="9"/>
      <c r="AE525" s="9"/>
      <c r="AF525" s="9"/>
      <c r="AG525" s="9"/>
      <c r="AH525" s="9"/>
      <c r="AI525" s="9"/>
    </row>
    <row r="526" spans="1:35" ht="15.75" customHeight="1" x14ac:dyDescent="0.25">
      <c r="A526" s="10"/>
      <c r="B526" s="13"/>
      <c r="C526" s="13"/>
      <c r="D526" s="13"/>
      <c r="E526" s="13"/>
      <c r="F526" s="13"/>
      <c r="G526" s="13"/>
      <c r="H526" s="13"/>
      <c r="T526" s="13"/>
      <c r="U526" s="13"/>
      <c r="V526" s="13"/>
      <c r="W526" s="13"/>
      <c r="X526" s="13"/>
      <c r="Y526" s="10"/>
      <c r="Z526" s="9"/>
      <c r="AA526" s="9"/>
      <c r="AB526" s="9"/>
      <c r="AC526" s="9"/>
      <c r="AD526" s="9"/>
      <c r="AE526" s="9"/>
      <c r="AF526" s="9"/>
      <c r="AG526" s="9"/>
      <c r="AH526" s="9"/>
      <c r="AI526" s="9"/>
    </row>
    <row r="527" spans="1:35" ht="15.75" customHeight="1" x14ac:dyDescent="0.25">
      <c r="A527" s="10"/>
      <c r="B527" s="13"/>
      <c r="C527" s="13"/>
      <c r="D527" s="13"/>
      <c r="E527" s="13"/>
      <c r="F527" s="13"/>
      <c r="G527" s="13"/>
      <c r="H527" s="13"/>
      <c r="T527" s="13"/>
      <c r="U527" s="13"/>
      <c r="V527" s="13"/>
      <c r="W527" s="13"/>
      <c r="X527" s="13"/>
      <c r="Y527" s="10"/>
      <c r="Z527" s="9"/>
      <c r="AA527" s="9"/>
      <c r="AB527" s="9"/>
      <c r="AC527" s="9"/>
      <c r="AD527" s="9"/>
      <c r="AE527" s="9"/>
      <c r="AF527" s="9"/>
      <c r="AG527" s="9"/>
      <c r="AH527" s="9"/>
      <c r="AI527" s="9"/>
    </row>
    <row r="528" spans="1:35" ht="15.75" customHeight="1" x14ac:dyDescent="0.25">
      <c r="A528" s="10"/>
      <c r="B528" s="13"/>
      <c r="C528" s="13"/>
      <c r="D528" s="13"/>
      <c r="E528" s="13"/>
      <c r="F528" s="13"/>
      <c r="G528" s="13"/>
      <c r="H528" s="13"/>
      <c r="T528" s="13"/>
      <c r="U528" s="13"/>
      <c r="V528" s="13"/>
      <c r="W528" s="13"/>
      <c r="X528" s="13"/>
      <c r="Y528" s="10"/>
      <c r="Z528" s="9"/>
      <c r="AA528" s="9"/>
      <c r="AB528" s="9"/>
      <c r="AC528" s="9"/>
      <c r="AD528" s="9"/>
      <c r="AE528" s="9"/>
      <c r="AF528" s="9"/>
      <c r="AG528" s="9"/>
      <c r="AH528" s="9"/>
      <c r="AI528" s="9"/>
    </row>
    <row r="529" spans="1:35" ht="15.75" customHeight="1" x14ac:dyDescent="0.25">
      <c r="A529" s="10"/>
      <c r="B529" s="13"/>
      <c r="C529" s="13"/>
      <c r="D529" s="13"/>
      <c r="E529" s="13"/>
      <c r="F529" s="13"/>
      <c r="G529" s="13"/>
      <c r="H529" s="13"/>
      <c r="T529" s="13"/>
      <c r="U529" s="13"/>
      <c r="V529" s="13"/>
      <c r="W529" s="13"/>
      <c r="X529" s="13"/>
      <c r="Y529" s="10"/>
      <c r="Z529" s="9"/>
      <c r="AA529" s="9"/>
      <c r="AB529" s="9"/>
      <c r="AC529" s="9"/>
      <c r="AD529" s="9"/>
      <c r="AE529" s="9"/>
      <c r="AF529" s="9"/>
      <c r="AG529" s="9"/>
      <c r="AH529" s="9"/>
      <c r="AI529" s="9"/>
    </row>
    <row r="530" spans="1:35" ht="15.75" customHeight="1" x14ac:dyDescent="0.25">
      <c r="A530" s="10"/>
      <c r="B530" s="13"/>
      <c r="C530" s="13"/>
      <c r="D530" s="13"/>
      <c r="E530" s="13"/>
      <c r="F530" s="13"/>
      <c r="G530" s="13"/>
      <c r="H530" s="13"/>
      <c r="T530" s="13"/>
      <c r="U530" s="13"/>
      <c r="V530" s="13"/>
      <c r="W530" s="13"/>
      <c r="X530" s="13"/>
      <c r="Y530" s="10"/>
      <c r="Z530" s="9"/>
      <c r="AA530" s="9"/>
      <c r="AB530" s="9"/>
      <c r="AC530" s="9"/>
      <c r="AD530" s="9"/>
      <c r="AE530" s="9"/>
      <c r="AF530" s="9"/>
      <c r="AG530" s="9"/>
      <c r="AH530" s="9"/>
      <c r="AI530" s="9"/>
    </row>
    <row r="531" spans="1:35" ht="15.75" customHeight="1" x14ac:dyDescent="0.25">
      <c r="A531" s="10"/>
      <c r="B531" s="13"/>
      <c r="C531" s="13"/>
      <c r="D531" s="13"/>
      <c r="E531" s="13"/>
      <c r="F531" s="13"/>
      <c r="G531" s="13"/>
      <c r="H531" s="13"/>
      <c r="T531" s="13"/>
      <c r="U531" s="13"/>
      <c r="V531" s="13"/>
      <c r="W531" s="13"/>
      <c r="X531" s="13"/>
      <c r="Y531" s="10"/>
      <c r="Z531" s="9"/>
      <c r="AA531" s="9"/>
      <c r="AB531" s="9"/>
      <c r="AC531" s="9"/>
      <c r="AD531" s="9"/>
      <c r="AE531" s="9"/>
      <c r="AF531" s="9"/>
      <c r="AG531" s="9"/>
      <c r="AH531" s="9"/>
      <c r="AI531" s="9"/>
    </row>
    <row r="532" spans="1:35" ht="15.75" customHeight="1" x14ac:dyDescent="0.25">
      <c r="A532" s="10"/>
      <c r="B532" s="13"/>
      <c r="C532" s="13"/>
      <c r="D532" s="13"/>
      <c r="E532" s="13"/>
      <c r="F532" s="13"/>
      <c r="G532" s="13"/>
      <c r="H532" s="13"/>
      <c r="T532" s="13"/>
      <c r="U532" s="13"/>
      <c r="V532" s="13"/>
      <c r="W532" s="13"/>
      <c r="X532" s="13"/>
      <c r="Y532" s="10"/>
      <c r="Z532" s="9"/>
      <c r="AA532" s="9"/>
      <c r="AB532" s="9"/>
      <c r="AC532" s="9"/>
      <c r="AD532" s="9"/>
      <c r="AE532" s="9"/>
      <c r="AF532" s="9"/>
      <c r="AG532" s="9"/>
      <c r="AH532" s="9"/>
      <c r="AI532" s="9"/>
    </row>
    <row r="533" spans="1:35" ht="15.75" customHeight="1" x14ac:dyDescent="0.25">
      <c r="A533" s="10"/>
      <c r="B533" s="13"/>
      <c r="C533" s="13"/>
      <c r="D533" s="13"/>
      <c r="E533" s="13"/>
      <c r="F533" s="13"/>
      <c r="G533" s="13"/>
      <c r="H533" s="13"/>
      <c r="T533" s="13"/>
      <c r="U533" s="13"/>
      <c r="V533" s="13"/>
      <c r="W533" s="13"/>
      <c r="X533" s="13"/>
      <c r="Y533" s="10"/>
      <c r="Z533" s="9"/>
      <c r="AA533" s="9"/>
      <c r="AB533" s="9"/>
      <c r="AC533" s="9"/>
      <c r="AD533" s="9"/>
      <c r="AE533" s="9"/>
      <c r="AF533" s="9"/>
      <c r="AG533" s="9"/>
      <c r="AH533" s="9"/>
      <c r="AI533" s="9"/>
    </row>
    <row r="534" spans="1:35" ht="15.75" customHeight="1" x14ac:dyDescent="0.25">
      <c r="A534" s="10"/>
      <c r="B534" s="13"/>
      <c r="C534" s="13"/>
      <c r="D534" s="13"/>
      <c r="E534" s="13"/>
      <c r="F534" s="13"/>
      <c r="G534" s="13"/>
      <c r="H534" s="13"/>
      <c r="T534" s="13"/>
      <c r="U534" s="13"/>
      <c r="V534" s="13"/>
      <c r="W534" s="13"/>
      <c r="X534" s="13"/>
      <c r="Y534" s="10"/>
      <c r="Z534" s="9"/>
      <c r="AA534" s="9"/>
      <c r="AB534" s="9"/>
      <c r="AC534" s="9"/>
      <c r="AD534" s="9"/>
      <c r="AE534" s="9"/>
      <c r="AF534" s="9"/>
      <c r="AG534" s="9"/>
      <c r="AH534" s="9"/>
      <c r="AI534" s="9"/>
    </row>
    <row r="535" spans="1:35" ht="15.75" customHeight="1" x14ac:dyDescent="0.25">
      <c r="A535" s="10"/>
      <c r="B535" s="13"/>
      <c r="C535" s="13"/>
      <c r="D535" s="13"/>
      <c r="E535" s="13"/>
      <c r="F535" s="13"/>
      <c r="G535" s="13"/>
      <c r="H535" s="13"/>
      <c r="T535" s="13"/>
      <c r="U535" s="13"/>
      <c r="V535" s="13"/>
      <c r="W535" s="13"/>
      <c r="X535" s="13"/>
      <c r="Y535" s="10"/>
      <c r="Z535" s="9"/>
      <c r="AA535" s="9"/>
      <c r="AB535" s="9"/>
      <c r="AC535" s="9"/>
      <c r="AD535" s="9"/>
      <c r="AE535" s="9"/>
      <c r="AF535" s="9"/>
      <c r="AG535" s="9"/>
      <c r="AH535" s="9"/>
      <c r="AI535" s="9"/>
    </row>
    <row r="536" spans="1:35" ht="15.75" customHeight="1" x14ac:dyDescent="0.25">
      <c r="A536" s="10"/>
      <c r="B536" s="13"/>
      <c r="C536" s="13"/>
      <c r="D536" s="13"/>
      <c r="E536" s="13"/>
      <c r="F536" s="13"/>
      <c r="G536" s="13"/>
      <c r="H536" s="13"/>
      <c r="T536" s="13"/>
      <c r="U536" s="13"/>
      <c r="V536" s="13"/>
      <c r="W536" s="13"/>
      <c r="X536" s="13"/>
      <c r="Y536" s="10"/>
      <c r="Z536" s="9"/>
      <c r="AA536" s="9"/>
      <c r="AB536" s="9"/>
      <c r="AC536" s="9"/>
      <c r="AD536" s="9"/>
      <c r="AE536" s="9"/>
      <c r="AF536" s="9"/>
      <c r="AG536" s="9"/>
      <c r="AH536" s="9"/>
      <c r="AI536" s="9"/>
    </row>
    <row r="537" spans="1:35" ht="15.75" customHeight="1" x14ac:dyDescent="0.25">
      <c r="A537" s="10"/>
      <c r="B537" s="13"/>
      <c r="C537" s="13"/>
      <c r="D537" s="13"/>
      <c r="E537" s="13"/>
      <c r="F537" s="13"/>
      <c r="G537" s="13"/>
      <c r="H537" s="13"/>
      <c r="T537" s="13"/>
      <c r="U537" s="13"/>
      <c r="V537" s="13"/>
      <c r="W537" s="13"/>
      <c r="X537" s="13"/>
      <c r="Y537" s="10"/>
      <c r="Z537" s="9"/>
      <c r="AA537" s="9"/>
      <c r="AB537" s="9"/>
      <c r="AC537" s="9"/>
      <c r="AD537" s="9"/>
      <c r="AE537" s="9"/>
      <c r="AF537" s="9"/>
      <c r="AG537" s="9"/>
      <c r="AH537" s="9"/>
      <c r="AI537" s="9"/>
    </row>
    <row r="538" spans="1:35" ht="15.75" customHeight="1" x14ac:dyDescent="0.25">
      <c r="A538" s="10"/>
      <c r="B538" s="13"/>
      <c r="C538" s="13"/>
      <c r="D538" s="13"/>
      <c r="E538" s="13"/>
      <c r="F538" s="13"/>
      <c r="G538" s="13"/>
      <c r="H538" s="13"/>
      <c r="T538" s="13"/>
      <c r="U538" s="13"/>
      <c r="V538" s="13"/>
      <c r="W538" s="13"/>
      <c r="X538" s="13"/>
      <c r="Y538" s="10"/>
      <c r="Z538" s="9"/>
      <c r="AA538" s="9"/>
      <c r="AB538" s="9"/>
      <c r="AC538" s="9"/>
      <c r="AD538" s="9"/>
      <c r="AE538" s="9"/>
      <c r="AF538" s="9"/>
      <c r="AG538" s="9"/>
      <c r="AH538" s="9"/>
      <c r="AI538" s="9"/>
    </row>
    <row r="539" spans="1:35" ht="15.75" customHeight="1" x14ac:dyDescent="0.25">
      <c r="A539" s="10"/>
      <c r="B539" s="13"/>
      <c r="C539" s="13"/>
      <c r="D539" s="13"/>
      <c r="E539" s="13"/>
      <c r="F539" s="13"/>
      <c r="G539" s="13"/>
      <c r="H539" s="13"/>
      <c r="T539" s="13"/>
      <c r="U539" s="13"/>
      <c r="V539" s="13"/>
      <c r="W539" s="13"/>
      <c r="X539" s="13"/>
      <c r="Y539" s="10"/>
      <c r="Z539" s="9"/>
      <c r="AA539" s="9"/>
      <c r="AB539" s="9"/>
      <c r="AC539" s="9"/>
      <c r="AD539" s="9"/>
      <c r="AE539" s="9"/>
      <c r="AF539" s="9"/>
      <c r="AG539" s="9"/>
      <c r="AH539" s="9"/>
      <c r="AI539" s="9"/>
    </row>
    <row r="540" spans="1:35" ht="15.75" customHeight="1" x14ac:dyDescent="0.25">
      <c r="A540" s="10"/>
      <c r="B540" s="13"/>
      <c r="C540" s="13"/>
      <c r="D540" s="13"/>
      <c r="E540" s="13"/>
      <c r="F540" s="13"/>
      <c r="G540" s="13"/>
      <c r="H540" s="13"/>
      <c r="T540" s="13"/>
      <c r="U540" s="13"/>
      <c r="V540" s="13"/>
      <c r="W540" s="13"/>
      <c r="X540" s="13"/>
      <c r="Y540" s="10"/>
      <c r="Z540" s="9"/>
      <c r="AA540" s="9"/>
      <c r="AB540" s="9"/>
      <c r="AC540" s="9"/>
      <c r="AD540" s="9"/>
      <c r="AE540" s="9"/>
      <c r="AF540" s="9"/>
      <c r="AG540" s="9"/>
      <c r="AH540" s="9"/>
      <c r="AI540" s="9"/>
    </row>
    <row r="541" spans="1:35" ht="15.75" customHeight="1" x14ac:dyDescent="0.25">
      <c r="A541" s="10"/>
      <c r="B541" s="13"/>
      <c r="C541" s="13"/>
      <c r="D541" s="13"/>
      <c r="E541" s="13"/>
      <c r="F541" s="13"/>
      <c r="G541" s="13"/>
      <c r="H541" s="13"/>
      <c r="T541" s="13"/>
      <c r="U541" s="13"/>
      <c r="V541" s="13"/>
      <c r="W541" s="13"/>
      <c r="X541" s="13"/>
      <c r="Y541" s="10"/>
      <c r="Z541" s="9"/>
      <c r="AA541" s="9"/>
      <c r="AB541" s="9"/>
      <c r="AC541" s="9"/>
      <c r="AD541" s="9"/>
      <c r="AE541" s="9"/>
      <c r="AF541" s="9"/>
      <c r="AG541" s="9"/>
      <c r="AH541" s="9"/>
      <c r="AI541" s="9"/>
    </row>
    <row r="542" spans="1:35" ht="15.75" customHeight="1" x14ac:dyDescent="0.25">
      <c r="A542" s="10"/>
      <c r="B542" s="13"/>
      <c r="C542" s="13"/>
      <c r="D542" s="13"/>
      <c r="E542" s="13"/>
      <c r="F542" s="13"/>
      <c r="G542" s="13"/>
      <c r="H542" s="13"/>
      <c r="T542" s="13"/>
      <c r="U542" s="13"/>
      <c r="V542" s="13"/>
      <c r="W542" s="13"/>
      <c r="X542" s="13"/>
      <c r="Y542" s="10"/>
      <c r="Z542" s="9"/>
      <c r="AA542" s="9"/>
      <c r="AB542" s="9"/>
      <c r="AC542" s="9"/>
      <c r="AD542" s="9"/>
      <c r="AE542" s="9"/>
      <c r="AF542" s="9"/>
      <c r="AG542" s="9"/>
      <c r="AH542" s="9"/>
      <c r="AI542" s="9"/>
    </row>
    <row r="543" spans="1:35" ht="15.75" customHeight="1" x14ac:dyDescent="0.25">
      <c r="A543" s="10"/>
      <c r="B543" s="13"/>
      <c r="C543" s="13"/>
      <c r="D543" s="13"/>
      <c r="E543" s="13"/>
      <c r="F543" s="13"/>
      <c r="G543" s="13"/>
      <c r="H543" s="13"/>
      <c r="T543" s="13"/>
      <c r="U543" s="13"/>
      <c r="V543" s="13"/>
      <c r="W543" s="13"/>
      <c r="X543" s="13"/>
      <c r="Y543" s="10"/>
      <c r="Z543" s="9"/>
      <c r="AA543" s="9"/>
      <c r="AB543" s="9"/>
      <c r="AC543" s="9"/>
      <c r="AD543" s="9"/>
      <c r="AE543" s="9"/>
      <c r="AF543" s="9"/>
      <c r="AG543" s="9"/>
      <c r="AH543" s="9"/>
      <c r="AI543" s="9"/>
    </row>
    <row r="544" spans="1:35" ht="15.75" customHeight="1" x14ac:dyDescent="0.25">
      <c r="A544" s="10"/>
      <c r="B544" s="13"/>
      <c r="C544" s="13"/>
      <c r="D544" s="13"/>
      <c r="E544" s="13"/>
      <c r="F544" s="13"/>
      <c r="G544" s="13"/>
      <c r="H544" s="13"/>
      <c r="T544" s="13"/>
      <c r="U544" s="13"/>
      <c r="V544" s="13"/>
      <c r="W544" s="13"/>
      <c r="X544" s="13"/>
      <c r="Y544" s="10"/>
      <c r="Z544" s="9"/>
      <c r="AA544" s="9"/>
      <c r="AB544" s="9"/>
      <c r="AC544" s="9"/>
      <c r="AD544" s="9"/>
      <c r="AE544" s="9"/>
      <c r="AF544" s="9"/>
      <c r="AG544" s="9"/>
      <c r="AH544" s="9"/>
      <c r="AI544" s="9"/>
    </row>
    <row r="545" spans="1:35" ht="15.75" customHeight="1" x14ac:dyDescent="0.25">
      <c r="A545" s="10"/>
      <c r="B545" s="13"/>
      <c r="C545" s="13"/>
      <c r="D545" s="13"/>
      <c r="E545" s="13"/>
      <c r="F545" s="13"/>
      <c r="G545" s="13"/>
      <c r="H545" s="13"/>
      <c r="T545" s="13"/>
      <c r="U545" s="13"/>
      <c r="V545" s="13"/>
      <c r="W545" s="13"/>
      <c r="X545" s="13"/>
      <c r="Y545" s="10"/>
      <c r="Z545" s="9"/>
      <c r="AA545" s="9"/>
      <c r="AB545" s="9"/>
      <c r="AC545" s="9"/>
      <c r="AD545" s="9"/>
      <c r="AE545" s="9"/>
      <c r="AF545" s="9"/>
      <c r="AG545" s="9"/>
      <c r="AH545" s="9"/>
      <c r="AI545" s="9"/>
    </row>
    <row r="546" spans="1:35" ht="15.75" customHeight="1" x14ac:dyDescent="0.25">
      <c r="A546" s="10"/>
      <c r="B546" s="13"/>
      <c r="C546" s="13"/>
      <c r="D546" s="13"/>
      <c r="E546" s="13"/>
      <c r="F546" s="13"/>
      <c r="G546" s="13"/>
      <c r="H546" s="13"/>
      <c r="T546" s="13"/>
      <c r="U546" s="13"/>
      <c r="V546" s="13"/>
      <c r="W546" s="13"/>
      <c r="X546" s="13"/>
      <c r="Y546" s="10"/>
      <c r="Z546" s="9"/>
      <c r="AA546" s="9"/>
      <c r="AB546" s="9"/>
      <c r="AC546" s="9"/>
      <c r="AD546" s="9"/>
      <c r="AE546" s="9"/>
      <c r="AF546" s="9"/>
      <c r="AG546" s="9"/>
      <c r="AH546" s="9"/>
      <c r="AI546" s="9"/>
    </row>
    <row r="547" spans="1:35" ht="15.75" customHeight="1" x14ac:dyDescent="0.25">
      <c r="A547" s="10"/>
      <c r="B547" s="13"/>
      <c r="C547" s="13"/>
      <c r="D547" s="13"/>
      <c r="E547" s="13"/>
      <c r="F547" s="13"/>
      <c r="G547" s="13"/>
      <c r="H547" s="13"/>
      <c r="T547" s="13"/>
      <c r="U547" s="13"/>
      <c r="V547" s="13"/>
      <c r="W547" s="13"/>
      <c r="X547" s="13"/>
      <c r="Y547" s="10"/>
      <c r="Z547" s="9"/>
      <c r="AA547" s="9"/>
      <c r="AB547" s="9"/>
      <c r="AC547" s="9"/>
      <c r="AD547" s="9"/>
      <c r="AE547" s="9"/>
      <c r="AF547" s="9"/>
      <c r="AG547" s="9"/>
      <c r="AH547" s="9"/>
      <c r="AI547" s="9"/>
    </row>
    <row r="548" spans="1:35" ht="15.75" customHeight="1" x14ac:dyDescent="0.25">
      <c r="A548" s="10"/>
      <c r="B548" s="13"/>
      <c r="C548" s="13"/>
      <c r="D548" s="13"/>
      <c r="E548" s="13"/>
      <c r="F548" s="13"/>
      <c r="G548" s="13"/>
      <c r="H548" s="13"/>
      <c r="T548" s="13"/>
      <c r="U548" s="13"/>
      <c r="V548" s="13"/>
      <c r="W548" s="13"/>
      <c r="X548" s="13"/>
      <c r="Y548" s="10"/>
      <c r="Z548" s="9"/>
      <c r="AA548" s="9"/>
      <c r="AB548" s="9"/>
      <c r="AC548" s="9"/>
      <c r="AD548" s="9"/>
      <c r="AE548" s="9"/>
      <c r="AF548" s="9"/>
      <c r="AG548" s="9"/>
      <c r="AH548" s="9"/>
      <c r="AI548" s="9"/>
    </row>
    <row r="549" spans="1:35" ht="15.75" customHeight="1" x14ac:dyDescent="0.25">
      <c r="A549" s="10"/>
      <c r="B549" s="13"/>
      <c r="C549" s="13"/>
      <c r="D549" s="13"/>
      <c r="E549" s="13"/>
      <c r="F549" s="13"/>
      <c r="G549" s="13"/>
      <c r="H549" s="13"/>
      <c r="T549" s="13"/>
      <c r="U549" s="13"/>
      <c r="V549" s="13"/>
      <c r="W549" s="13"/>
      <c r="X549" s="13"/>
      <c r="Y549" s="10"/>
      <c r="Z549" s="9"/>
      <c r="AA549" s="9"/>
      <c r="AB549" s="9"/>
      <c r="AC549" s="9"/>
      <c r="AD549" s="9"/>
      <c r="AE549" s="9"/>
      <c r="AF549" s="9"/>
      <c r="AG549" s="9"/>
      <c r="AH549" s="9"/>
      <c r="AI549" s="9"/>
    </row>
    <row r="550" spans="1:35" ht="15.75" customHeight="1" x14ac:dyDescent="0.25">
      <c r="A550" s="10"/>
      <c r="B550" s="13"/>
      <c r="C550" s="13"/>
      <c r="D550" s="13"/>
      <c r="E550" s="13"/>
      <c r="F550" s="13"/>
      <c r="G550" s="13"/>
      <c r="H550" s="13"/>
      <c r="T550" s="13"/>
      <c r="U550" s="13"/>
      <c r="V550" s="13"/>
      <c r="W550" s="13"/>
      <c r="X550" s="13"/>
      <c r="Y550" s="10"/>
      <c r="Z550" s="9"/>
      <c r="AA550" s="9"/>
      <c r="AB550" s="9"/>
      <c r="AC550" s="9"/>
      <c r="AD550" s="9"/>
      <c r="AE550" s="9"/>
      <c r="AF550" s="9"/>
      <c r="AG550" s="9"/>
      <c r="AH550" s="9"/>
      <c r="AI550" s="9"/>
    </row>
    <row r="551" spans="1:35" ht="15.75" customHeight="1" x14ac:dyDescent="0.25">
      <c r="A551" s="10"/>
      <c r="B551" s="13"/>
      <c r="C551" s="13"/>
      <c r="D551" s="13"/>
      <c r="E551" s="13"/>
      <c r="F551" s="13"/>
      <c r="G551" s="13"/>
      <c r="H551" s="13"/>
      <c r="T551" s="13"/>
      <c r="U551" s="13"/>
      <c r="V551" s="13"/>
      <c r="W551" s="13"/>
      <c r="X551" s="13"/>
      <c r="Y551" s="10"/>
      <c r="Z551" s="9"/>
      <c r="AA551" s="9"/>
      <c r="AB551" s="9"/>
      <c r="AC551" s="9"/>
      <c r="AD551" s="9"/>
      <c r="AE551" s="9"/>
      <c r="AF551" s="9"/>
      <c r="AG551" s="9"/>
      <c r="AH551" s="9"/>
      <c r="AI551" s="9"/>
    </row>
    <row r="552" spans="1:35" ht="15.75" customHeight="1" x14ac:dyDescent="0.25">
      <c r="A552" s="10"/>
      <c r="B552" s="13"/>
      <c r="C552" s="13"/>
      <c r="D552" s="13"/>
      <c r="E552" s="13"/>
      <c r="F552" s="13"/>
      <c r="G552" s="13"/>
      <c r="H552" s="13"/>
      <c r="T552" s="13"/>
      <c r="U552" s="13"/>
      <c r="V552" s="13"/>
      <c r="W552" s="13"/>
      <c r="X552" s="13"/>
      <c r="Y552" s="10"/>
      <c r="Z552" s="9"/>
      <c r="AA552" s="9"/>
      <c r="AB552" s="9"/>
      <c r="AC552" s="9"/>
      <c r="AD552" s="9"/>
      <c r="AE552" s="9"/>
      <c r="AF552" s="9"/>
      <c r="AG552" s="9"/>
      <c r="AH552" s="9"/>
      <c r="AI552" s="9"/>
    </row>
    <row r="553" spans="1:35" ht="15.75" customHeight="1" x14ac:dyDescent="0.25">
      <c r="A553" s="10"/>
      <c r="B553" s="13"/>
      <c r="C553" s="13"/>
      <c r="D553" s="13"/>
      <c r="E553" s="13"/>
      <c r="F553" s="13"/>
      <c r="G553" s="13"/>
      <c r="H553" s="13"/>
      <c r="T553" s="13"/>
      <c r="U553" s="13"/>
      <c r="V553" s="13"/>
      <c r="W553" s="13"/>
      <c r="X553" s="13"/>
      <c r="Y553" s="10"/>
      <c r="Z553" s="9"/>
      <c r="AA553" s="9"/>
      <c r="AB553" s="9"/>
      <c r="AC553" s="9"/>
      <c r="AD553" s="9"/>
      <c r="AE553" s="9"/>
      <c r="AF553" s="9"/>
      <c r="AG553" s="9"/>
      <c r="AH553" s="9"/>
      <c r="AI553" s="9"/>
    </row>
    <row r="554" spans="1:35" ht="15.75" customHeight="1" x14ac:dyDescent="0.25">
      <c r="A554" s="10"/>
      <c r="B554" s="13"/>
      <c r="C554" s="13"/>
      <c r="D554" s="13"/>
      <c r="E554" s="13"/>
      <c r="F554" s="13"/>
      <c r="G554" s="13"/>
      <c r="H554" s="13"/>
      <c r="T554" s="13"/>
      <c r="U554" s="13"/>
      <c r="V554" s="13"/>
      <c r="W554" s="13"/>
      <c r="X554" s="13"/>
      <c r="Y554" s="10"/>
      <c r="Z554" s="9"/>
      <c r="AA554" s="9"/>
      <c r="AB554" s="9"/>
      <c r="AC554" s="9"/>
      <c r="AD554" s="9"/>
      <c r="AE554" s="9"/>
      <c r="AF554" s="9"/>
      <c r="AG554" s="9"/>
      <c r="AH554" s="9"/>
      <c r="AI554" s="9"/>
    </row>
    <row r="555" spans="1:35" ht="15.75" customHeight="1" x14ac:dyDescent="0.25">
      <c r="A555" s="10"/>
      <c r="B555" s="13"/>
      <c r="C555" s="13"/>
      <c r="D555" s="13"/>
      <c r="E555" s="13"/>
      <c r="F555" s="13"/>
      <c r="G555" s="13"/>
      <c r="H555" s="13"/>
      <c r="T555" s="13"/>
      <c r="U555" s="13"/>
      <c r="V555" s="13"/>
      <c r="W555" s="13"/>
      <c r="X555" s="13"/>
      <c r="Y555" s="10"/>
      <c r="Z555" s="9"/>
      <c r="AA555" s="9"/>
      <c r="AB555" s="9"/>
      <c r="AC555" s="9"/>
      <c r="AD555" s="9"/>
      <c r="AE555" s="9"/>
      <c r="AF555" s="9"/>
      <c r="AG555" s="9"/>
      <c r="AH555" s="9"/>
      <c r="AI555" s="9"/>
    </row>
    <row r="556" spans="1:35" ht="15.75" customHeight="1" x14ac:dyDescent="0.25">
      <c r="A556" s="10"/>
      <c r="B556" s="13"/>
      <c r="C556" s="13"/>
      <c r="D556" s="13"/>
      <c r="E556" s="13"/>
      <c r="F556" s="13"/>
      <c r="G556" s="13"/>
      <c r="H556" s="13"/>
      <c r="T556" s="13"/>
      <c r="U556" s="13"/>
      <c r="V556" s="13"/>
      <c r="W556" s="13"/>
      <c r="X556" s="13"/>
      <c r="Y556" s="10"/>
      <c r="Z556" s="9"/>
      <c r="AA556" s="9"/>
      <c r="AB556" s="9"/>
      <c r="AC556" s="9"/>
      <c r="AD556" s="9"/>
      <c r="AE556" s="9"/>
      <c r="AF556" s="9"/>
      <c r="AG556" s="9"/>
      <c r="AH556" s="9"/>
      <c r="AI556" s="9"/>
    </row>
    <row r="557" spans="1:35" ht="15.75" customHeight="1" x14ac:dyDescent="0.25">
      <c r="A557" s="10"/>
      <c r="B557" s="13"/>
      <c r="C557" s="13"/>
      <c r="D557" s="13"/>
      <c r="E557" s="13"/>
      <c r="F557" s="13"/>
      <c r="G557" s="13"/>
      <c r="H557" s="13"/>
      <c r="T557" s="13"/>
      <c r="U557" s="13"/>
      <c r="V557" s="13"/>
      <c r="W557" s="13"/>
      <c r="X557" s="13"/>
      <c r="Y557" s="10"/>
      <c r="Z557" s="9"/>
      <c r="AA557" s="9"/>
      <c r="AB557" s="9"/>
      <c r="AC557" s="9"/>
      <c r="AD557" s="9"/>
      <c r="AE557" s="9"/>
      <c r="AF557" s="9"/>
      <c r="AG557" s="9"/>
      <c r="AH557" s="9"/>
      <c r="AI557" s="9"/>
    </row>
    <row r="558" spans="1:35" ht="15.75" customHeight="1" x14ac:dyDescent="0.25">
      <c r="A558" s="10"/>
      <c r="B558" s="13"/>
      <c r="C558" s="13"/>
      <c r="D558" s="13"/>
      <c r="E558" s="13"/>
      <c r="F558" s="13"/>
      <c r="G558" s="13"/>
      <c r="H558" s="13"/>
      <c r="T558" s="13"/>
      <c r="U558" s="13"/>
      <c r="V558" s="13"/>
      <c r="W558" s="13"/>
      <c r="X558" s="13"/>
      <c r="Y558" s="10"/>
      <c r="Z558" s="9"/>
      <c r="AA558" s="9"/>
      <c r="AB558" s="9"/>
      <c r="AC558" s="9"/>
      <c r="AD558" s="9"/>
      <c r="AE558" s="9"/>
      <c r="AF558" s="9"/>
      <c r="AG558" s="9"/>
      <c r="AH558" s="9"/>
      <c r="AI558" s="9"/>
    </row>
    <row r="559" spans="1:35" ht="15.75" customHeight="1" x14ac:dyDescent="0.25">
      <c r="A559" s="10"/>
      <c r="B559" s="13"/>
      <c r="C559" s="13"/>
      <c r="D559" s="13"/>
      <c r="E559" s="13"/>
      <c r="F559" s="13"/>
      <c r="G559" s="13"/>
      <c r="H559" s="13"/>
      <c r="T559" s="13"/>
      <c r="U559" s="13"/>
      <c r="V559" s="13"/>
      <c r="W559" s="13"/>
      <c r="X559" s="13"/>
      <c r="Y559" s="10"/>
      <c r="Z559" s="9"/>
      <c r="AA559" s="9"/>
      <c r="AB559" s="9"/>
      <c r="AC559" s="9"/>
      <c r="AD559" s="9"/>
      <c r="AE559" s="9"/>
      <c r="AF559" s="9"/>
      <c r="AG559" s="9"/>
      <c r="AH559" s="9"/>
      <c r="AI559" s="9"/>
    </row>
    <row r="560" spans="1:35" ht="15.75" customHeight="1" x14ac:dyDescent="0.25">
      <c r="A560" s="10"/>
      <c r="B560" s="13"/>
      <c r="C560" s="13"/>
      <c r="D560" s="13"/>
      <c r="E560" s="13"/>
      <c r="F560" s="13"/>
      <c r="G560" s="13"/>
      <c r="H560" s="13"/>
      <c r="T560" s="13"/>
      <c r="U560" s="13"/>
      <c r="V560" s="13"/>
      <c r="W560" s="13"/>
      <c r="X560" s="13"/>
      <c r="Y560" s="10"/>
      <c r="Z560" s="9"/>
      <c r="AA560" s="9"/>
      <c r="AB560" s="9"/>
      <c r="AC560" s="9"/>
      <c r="AD560" s="9"/>
      <c r="AE560" s="9"/>
      <c r="AF560" s="9"/>
      <c r="AG560" s="9"/>
      <c r="AH560" s="9"/>
      <c r="AI560" s="9"/>
    </row>
    <row r="561" spans="1:35" ht="15.75" customHeight="1" x14ac:dyDescent="0.25">
      <c r="A561" s="10"/>
      <c r="B561" s="13"/>
      <c r="C561" s="13"/>
      <c r="D561" s="13"/>
      <c r="E561" s="13"/>
      <c r="F561" s="13"/>
      <c r="G561" s="13"/>
      <c r="H561" s="13"/>
      <c r="T561" s="13"/>
      <c r="U561" s="13"/>
      <c r="V561" s="13"/>
      <c r="W561" s="13"/>
      <c r="X561" s="13"/>
      <c r="Y561" s="10"/>
      <c r="Z561" s="9"/>
      <c r="AA561" s="9"/>
      <c r="AB561" s="9"/>
      <c r="AC561" s="9"/>
      <c r="AD561" s="9"/>
      <c r="AE561" s="9"/>
      <c r="AF561" s="9"/>
      <c r="AG561" s="9"/>
      <c r="AH561" s="9"/>
      <c r="AI561" s="9"/>
    </row>
    <row r="562" spans="1:35" ht="15.75" customHeight="1" x14ac:dyDescent="0.25">
      <c r="A562" s="10"/>
      <c r="B562" s="13"/>
      <c r="C562" s="13"/>
      <c r="D562" s="13"/>
      <c r="E562" s="13"/>
      <c r="F562" s="13"/>
      <c r="G562" s="13"/>
      <c r="H562" s="13"/>
      <c r="T562" s="13"/>
      <c r="U562" s="13"/>
      <c r="V562" s="13"/>
      <c r="W562" s="13"/>
      <c r="X562" s="13"/>
      <c r="Y562" s="10"/>
      <c r="Z562" s="9"/>
      <c r="AA562" s="9"/>
      <c r="AB562" s="9"/>
      <c r="AC562" s="9"/>
      <c r="AD562" s="9"/>
      <c r="AE562" s="9"/>
      <c r="AF562" s="9"/>
      <c r="AG562" s="9"/>
      <c r="AH562" s="9"/>
      <c r="AI562" s="9"/>
    </row>
    <row r="563" spans="1:35" ht="15.75" customHeight="1" x14ac:dyDescent="0.25">
      <c r="A563" s="10"/>
      <c r="B563" s="13"/>
      <c r="C563" s="13"/>
      <c r="D563" s="13"/>
      <c r="E563" s="13"/>
      <c r="F563" s="13"/>
      <c r="G563" s="13"/>
      <c r="H563" s="13"/>
      <c r="T563" s="13"/>
      <c r="U563" s="13"/>
      <c r="V563" s="13"/>
      <c r="W563" s="13"/>
      <c r="X563" s="13"/>
      <c r="Y563" s="10"/>
      <c r="Z563" s="9"/>
      <c r="AA563" s="9"/>
      <c r="AB563" s="9"/>
      <c r="AC563" s="9"/>
      <c r="AD563" s="9"/>
      <c r="AE563" s="9"/>
      <c r="AF563" s="9"/>
      <c r="AG563" s="9"/>
      <c r="AH563" s="9"/>
      <c r="AI563" s="9"/>
    </row>
    <row r="564" spans="1:35" ht="15.75" customHeight="1" x14ac:dyDescent="0.25">
      <c r="A564" s="10"/>
      <c r="B564" s="13"/>
      <c r="C564" s="13"/>
      <c r="D564" s="13"/>
      <c r="E564" s="13"/>
      <c r="F564" s="13"/>
      <c r="G564" s="13"/>
      <c r="H564" s="13"/>
      <c r="T564" s="13"/>
      <c r="U564" s="13"/>
      <c r="V564" s="13"/>
      <c r="W564" s="13"/>
      <c r="X564" s="13"/>
      <c r="Y564" s="10"/>
      <c r="Z564" s="9"/>
      <c r="AA564" s="9"/>
      <c r="AB564" s="9"/>
      <c r="AC564" s="9"/>
      <c r="AD564" s="9"/>
      <c r="AE564" s="9"/>
      <c r="AF564" s="9"/>
      <c r="AG564" s="9"/>
      <c r="AH564" s="9"/>
      <c r="AI564" s="9"/>
    </row>
    <row r="565" spans="1:35" ht="15.75" customHeight="1" x14ac:dyDescent="0.25">
      <c r="A565" s="10"/>
      <c r="B565" s="13"/>
      <c r="C565" s="13"/>
      <c r="D565" s="13"/>
      <c r="E565" s="13"/>
      <c r="F565" s="13"/>
      <c r="G565" s="13"/>
      <c r="H565" s="13"/>
      <c r="T565" s="13"/>
      <c r="U565" s="13"/>
      <c r="V565" s="13"/>
      <c r="W565" s="13"/>
      <c r="X565" s="13"/>
      <c r="Y565" s="10"/>
      <c r="Z565" s="9"/>
      <c r="AA565" s="9"/>
      <c r="AB565" s="9"/>
      <c r="AC565" s="9"/>
      <c r="AD565" s="9"/>
      <c r="AE565" s="9"/>
      <c r="AF565" s="9"/>
      <c r="AG565" s="9"/>
      <c r="AH565" s="9"/>
      <c r="AI565" s="9"/>
    </row>
    <row r="566" spans="1:35" ht="15.75" customHeight="1" x14ac:dyDescent="0.25">
      <c r="A566" s="10"/>
      <c r="B566" s="13"/>
      <c r="C566" s="13"/>
      <c r="D566" s="13"/>
      <c r="E566" s="13"/>
      <c r="F566" s="13"/>
      <c r="G566" s="13"/>
      <c r="H566" s="13"/>
      <c r="T566" s="13"/>
      <c r="U566" s="13"/>
      <c r="V566" s="13"/>
      <c r="W566" s="13"/>
      <c r="X566" s="13"/>
      <c r="Y566" s="10"/>
      <c r="Z566" s="9"/>
      <c r="AA566" s="9"/>
      <c r="AB566" s="9"/>
      <c r="AC566" s="9"/>
      <c r="AD566" s="9"/>
      <c r="AE566" s="9"/>
      <c r="AF566" s="9"/>
      <c r="AG566" s="9"/>
      <c r="AH566" s="9"/>
      <c r="AI566" s="9"/>
    </row>
    <row r="567" spans="1:35" ht="15.75" customHeight="1" x14ac:dyDescent="0.25">
      <c r="A567" s="10"/>
      <c r="B567" s="13"/>
      <c r="C567" s="13"/>
      <c r="D567" s="13"/>
      <c r="E567" s="13"/>
      <c r="F567" s="13"/>
      <c r="G567" s="13"/>
      <c r="H567" s="13"/>
      <c r="T567" s="13"/>
      <c r="U567" s="13"/>
      <c r="V567" s="13"/>
      <c r="W567" s="13"/>
      <c r="X567" s="13"/>
      <c r="Y567" s="10"/>
      <c r="Z567" s="9"/>
      <c r="AA567" s="9"/>
      <c r="AB567" s="9"/>
      <c r="AC567" s="9"/>
      <c r="AD567" s="9"/>
      <c r="AE567" s="9"/>
      <c r="AF567" s="9"/>
      <c r="AG567" s="9"/>
      <c r="AH567" s="9"/>
      <c r="AI567" s="9"/>
    </row>
    <row r="568" spans="1:35" ht="15.75" customHeight="1" x14ac:dyDescent="0.25">
      <c r="A568" s="10"/>
      <c r="B568" s="13"/>
      <c r="C568" s="13"/>
      <c r="D568" s="13"/>
      <c r="E568" s="13"/>
      <c r="F568" s="13"/>
      <c r="G568" s="13"/>
      <c r="H568" s="13"/>
      <c r="T568" s="13"/>
      <c r="U568" s="13"/>
      <c r="V568" s="13"/>
      <c r="W568" s="13"/>
      <c r="X568" s="13"/>
      <c r="Y568" s="10"/>
      <c r="Z568" s="9"/>
      <c r="AA568" s="9"/>
      <c r="AB568" s="9"/>
      <c r="AC568" s="9"/>
      <c r="AD568" s="9"/>
      <c r="AE568" s="9"/>
      <c r="AF568" s="9"/>
      <c r="AG568" s="9"/>
      <c r="AH568" s="9"/>
      <c r="AI568" s="9"/>
    </row>
    <row r="569" spans="1:35" ht="15.75" customHeight="1" x14ac:dyDescent="0.25">
      <c r="A569" s="10"/>
      <c r="B569" s="13"/>
      <c r="C569" s="13"/>
      <c r="D569" s="13"/>
      <c r="E569" s="13"/>
      <c r="F569" s="13"/>
      <c r="G569" s="13"/>
      <c r="H569" s="13"/>
      <c r="T569" s="13"/>
      <c r="U569" s="13"/>
      <c r="V569" s="13"/>
      <c r="W569" s="13"/>
      <c r="X569" s="13"/>
      <c r="Y569" s="10"/>
      <c r="Z569" s="9"/>
      <c r="AA569" s="9"/>
      <c r="AB569" s="9"/>
      <c r="AC569" s="9"/>
      <c r="AD569" s="9"/>
      <c r="AE569" s="9"/>
      <c r="AF569" s="9"/>
      <c r="AG569" s="9"/>
      <c r="AH569" s="9"/>
      <c r="AI569" s="9"/>
    </row>
    <row r="570" spans="1:35" ht="15.75" customHeight="1" x14ac:dyDescent="0.25">
      <c r="A570" s="10"/>
      <c r="B570" s="13"/>
      <c r="C570" s="13"/>
      <c r="D570" s="13"/>
      <c r="E570" s="13"/>
      <c r="F570" s="13"/>
      <c r="G570" s="13"/>
      <c r="H570" s="13"/>
      <c r="T570" s="13"/>
      <c r="U570" s="13"/>
      <c r="V570" s="13"/>
      <c r="W570" s="13"/>
      <c r="X570" s="13"/>
      <c r="Y570" s="10"/>
      <c r="Z570" s="9"/>
      <c r="AA570" s="9"/>
      <c r="AB570" s="9"/>
      <c r="AC570" s="9"/>
      <c r="AD570" s="9"/>
      <c r="AE570" s="9"/>
      <c r="AF570" s="9"/>
      <c r="AG570" s="9"/>
      <c r="AH570" s="9"/>
      <c r="AI570" s="9"/>
    </row>
    <row r="571" spans="1:35" ht="15.75" customHeight="1" x14ac:dyDescent="0.25">
      <c r="A571" s="10"/>
      <c r="B571" s="13"/>
      <c r="C571" s="13"/>
      <c r="D571" s="13"/>
      <c r="E571" s="13"/>
      <c r="F571" s="13"/>
      <c r="G571" s="13"/>
      <c r="H571" s="13"/>
      <c r="T571" s="13"/>
      <c r="U571" s="13"/>
      <c r="V571" s="13"/>
      <c r="W571" s="13"/>
      <c r="X571" s="13"/>
      <c r="Y571" s="10"/>
      <c r="Z571" s="9"/>
      <c r="AA571" s="9"/>
      <c r="AB571" s="9"/>
      <c r="AC571" s="9"/>
      <c r="AD571" s="9"/>
      <c r="AE571" s="9"/>
      <c r="AF571" s="9"/>
      <c r="AG571" s="9"/>
      <c r="AH571" s="9"/>
      <c r="AI571" s="9"/>
    </row>
    <row r="572" spans="1:35" ht="15.75" customHeight="1" x14ac:dyDescent="0.25">
      <c r="A572" s="10"/>
      <c r="B572" s="13"/>
      <c r="C572" s="13"/>
      <c r="D572" s="13"/>
      <c r="E572" s="13"/>
      <c r="F572" s="13"/>
      <c r="G572" s="13"/>
      <c r="H572" s="13"/>
      <c r="T572" s="13"/>
      <c r="U572" s="13"/>
      <c r="V572" s="13"/>
      <c r="W572" s="13"/>
      <c r="X572" s="13"/>
      <c r="Y572" s="10"/>
      <c r="Z572" s="9"/>
      <c r="AA572" s="9"/>
      <c r="AB572" s="9"/>
      <c r="AC572" s="9"/>
      <c r="AD572" s="9"/>
      <c r="AE572" s="9"/>
      <c r="AF572" s="9"/>
      <c r="AG572" s="9"/>
      <c r="AH572" s="9"/>
      <c r="AI572" s="9"/>
    </row>
    <row r="573" spans="1:35" ht="15.75" customHeight="1" x14ac:dyDescent="0.25">
      <c r="A573" s="10"/>
      <c r="B573" s="13"/>
      <c r="C573" s="13"/>
      <c r="D573" s="13"/>
      <c r="E573" s="13"/>
      <c r="F573" s="13"/>
      <c r="G573" s="13"/>
      <c r="H573" s="13"/>
      <c r="T573" s="13"/>
      <c r="U573" s="13"/>
      <c r="V573" s="13"/>
      <c r="W573" s="13"/>
      <c r="X573" s="13"/>
      <c r="Y573" s="10"/>
      <c r="Z573" s="9"/>
      <c r="AA573" s="9"/>
      <c r="AB573" s="9"/>
      <c r="AC573" s="9"/>
      <c r="AD573" s="9"/>
      <c r="AE573" s="9"/>
      <c r="AF573" s="9"/>
      <c r="AG573" s="9"/>
      <c r="AH573" s="9"/>
      <c r="AI573" s="9"/>
    </row>
    <row r="574" spans="1:35" ht="15.75" customHeight="1" x14ac:dyDescent="0.25">
      <c r="A574" s="10"/>
      <c r="B574" s="13"/>
      <c r="C574" s="13"/>
      <c r="D574" s="13"/>
      <c r="E574" s="13"/>
      <c r="F574" s="13"/>
      <c r="G574" s="13"/>
      <c r="H574" s="13"/>
      <c r="T574" s="13"/>
      <c r="U574" s="13"/>
      <c r="V574" s="13"/>
      <c r="W574" s="13"/>
      <c r="X574" s="13"/>
      <c r="Y574" s="10"/>
      <c r="Z574" s="9"/>
      <c r="AA574" s="9"/>
      <c r="AB574" s="9"/>
      <c r="AC574" s="9"/>
      <c r="AD574" s="9"/>
      <c r="AE574" s="9"/>
      <c r="AF574" s="9"/>
      <c r="AG574" s="9"/>
      <c r="AH574" s="9"/>
      <c r="AI574" s="9"/>
    </row>
    <row r="575" spans="1:35" ht="15.75" customHeight="1" x14ac:dyDescent="0.25">
      <c r="A575" s="10"/>
      <c r="B575" s="13"/>
      <c r="C575" s="13"/>
      <c r="D575" s="13"/>
      <c r="E575" s="13"/>
      <c r="F575" s="13"/>
      <c r="G575" s="13"/>
      <c r="H575" s="13"/>
      <c r="T575" s="13"/>
      <c r="U575" s="13"/>
      <c r="V575" s="13"/>
      <c r="W575" s="13"/>
      <c r="X575" s="13"/>
      <c r="Y575" s="10"/>
      <c r="Z575" s="9"/>
      <c r="AA575" s="9"/>
      <c r="AB575" s="9"/>
      <c r="AC575" s="9"/>
      <c r="AD575" s="9"/>
      <c r="AE575" s="9"/>
      <c r="AF575" s="9"/>
      <c r="AG575" s="9"/>
      <c r="AH575" s="9"/>
      <c r="AI575" s="9"/>
    </row>
    <row r="576" spans="1:35" ht="15.75" customHeight="1" x14ac:dyDescent="0.25">
      <c r="A576" s="10"/>
      <c r="B576" s="13"/>
      <c r="C576" s="13"/>
      <c r="D576" s="13"/>
      <c r="E576" s="13"/>
      <c r="F576" s="13"/>
      <c r="G576" s="13"/>
      <c r="H576" s="13"/>
      <c r="T576" s="13"/>
      <c r="U576" s="13"/>
      <c r="V576" s="13"/>
      <c r="W576" s="13"/>
      <c r="X576" s="13"/>
      <c r="Y576" s="10"/>
      <c r="Z576" s="9"/>
      <c r="AA576" s="9"/>
      <c r="AB576" s="9"/>
      <c r="AC576" s="9"/>
      <c r="AD576" s="9"/>
      <c r="AE576" s="9"/>
      <c r="AF576" s="9"/>
      <c r="AG576" s="9"/>
      <c r="AH576" s="9"/>
      <c r="AI576" s="9"/>
    </row>
    <row r="577" spans="1:35" ht="15.75" customHeight="1" x14ac:dyDescent="0.25">
      <c r="A577" s="10"/>
      <c r="B577" s="13"/>
      <c r="C577" s="13"/>
      <c r="D577" s="13"/>
      <c r="E577" s="13"/>
      <c r="F577" s="13"/>
      <c r="G577" s="13"/>
      <c r="H577" s="13"/>
      <c r="T577" s="13"/>
      <c r="U577" s="13"/>
      <c r="V577" s="13"/>
      <c r="W577" s="13"/>
      <c r="X577" s="13"/>
      <c r="Y577" s="10"/>
      <c r="Z577" s="9"/>
      <c r="AA577" s="9"/>
      <c r="AB577" s="9"/>
      <c r="AC577" s="9"/>
      <c r="AD577" s="9"/>
      <c r="AE577" s="9"/>
      <c r="AF577" s="9"/>
      <c r="AG577" s="9"/>
      <c r="AH577" s="9"/>
      <c r="AI577" s="9"/>
    </row>
    <row r="578" spans="1:35" ht="15.75" customHeight="1" x14ac:dyDescent="0.25">
      <c r="A578" s="10"/>
      <c r="B578" s="13"/>
      <c r="C578" s="13"/>
      <c r="D578" s="13"/>
      <c r="E578" s="13"/>
      <c r="F578" s="13"/>
      <c r="G578" s="13"/>
      <c r="H578" s="13"/>
      <c r="T578" s="13"/>
      <c r="U578" s="13"/>
      <c r="V578" s="13"/>
      <c r="W578" s="13"/>
      <c r="X578" s="13"/>
      <c r="Y578" s="10"/>
      <c r="Z578" s="9"/>
      <c r="AA578" s="9"/>
      <c r="AB578" s="9"/>
      <c r="AC578" s="9"/>
      <c r="AD578" s="9"/>
      <c r="AE578" s="9"/>
      <c r="AF578" s="9"/>
      <c r="AG578" s="9"/>
      <c r="AH578" s="9"/>
      <c r="AI578" s="9"/>
    </row>
    <row r="579" spans="1:35" ht="15.75" customHeight="1" x14ac:dyDescent="0.25">
      <c r="A579" s="10"/>
      <c r="B579" s="13"/>
      <c r="C579" s="13"/>
      <c r="D579" s="13"/>
      <c r="E579" s="13"/>
      <c r="F579" s="13"/>
      <c r="G579" s="13"/>
      <c r="H579" s="13"/>
      <c r="T579" s="13"/>
      <c r="U579" s="13"/>
      <c r="V579" s="13"/>
      <c r="W579" s="13"/>
      <c r="X579" s="13"/>
      <c r="Y579" s="10"/>
      <c r="Z579" s="9"/>
      <c r="AA579" s="9"/>
      <c r="AB579" s="9"/>
      <c r="AC579" s="9"/>
      <c r="AD579" s="9"/>
      <c r="AE579" s="9"/>
      <c r="AF579" s="9"/>
      <c r="AG579" s="9"/>
      <c r="AH579" s="9"/>
      <c r="AI579" s="9"/>
    </row>
    <row r="580" spans="1:35" ht="15.75" customHeight="1" x14ac:dyDescent="0.25">
      <c r="A580" s="10"/>
      <c r="B580" s="13"/>
      <c r="C580" s="13"/>
      <c r="D580" s="13"/>
      <c r="E580" s="13"/>
      <c r="F580" s="13"/>
      <c r="G580" s="13"/>
      <c r="H580" s="13"/>
      <c r="T580" s="13"/>
      <c r="U580" s="13"/>
      <c r="V580" s="13"/>
      <c r="W580" s="13"/>
      <c r="X580" s="13"/>
      <c r="Y580" s="10"/>
      <c r="Z580" s="9"/>
      <c r="AA580" s="9"/>
      <c r="AB580" s="9"/>
      <c r="AC580" s="9"/>
      <c r="AD580" s="9"/>
      <c r="AE580" s="9"/>
      <c r="AF580" s="9"/>
      <c r="AG580" s="9"/>
      <c r="AH580" s="9"/>
      <c r="AI580" s="9"/>
    </row>
    <row r="581" spans="1:35" ht="15.75" customHeight="1" x14ac:dyDescent="0.25">
      <c r="A581" s="10"/>
      <c r="B581" s="13"/>
      <c r="C581" s="13"/>
      <c r="D581" s="13"/>
      <c r="E581" s="13"/>
      <c r="F581" s="13"/>
      <c r="G581" s="13"/>
      <c r="H581" s="13"/>
      <c r="T581" s="13"/>
      <c r="U581" s="13"/>
      <c r="V581" s="13"/>
      <c r="W581" s="13"/>
      <c r="X581" s="13"/>
      <c r="Y581" s="10"/>
      <c r="Z581" s="9"/>
      <c r="AA581" s="9"/>
      <c r="AB581" s="9"/>
      <c r="AC581" s="9"/>
      <c r="AD581" s="9"/>
      <c r="AE581" s="9"/>
      <c r="AF581" s="9"/>
      <c r="AG581" s="9"/>
      <c r="AH581" s="9"/>
      <c r="AI581" s="9"/>
    </row>
    <row r="582" spans="1:35" ht="15.75" customHeight="1" x14ac:dyDescent="0.25">
      <c r="A582" s="10"/>
      <c r="B582" s="13"/>
      <c r="C582" s="13"/>
      <c r="D582" s="13"/>
      <c r="E582" s="13"/>
      <c r="F582" s="13"/>
      <c r="G582" s="13"/>
      <c r="H582" s="13"/>
      <c r="T582" s="13"/>
      <c r="U582" s="13"/>
      <c r="V582" s="13"/>
      <c r="W582" s="13"/>
      <c r="X582" s="13"/>
      <c r="Y582" s="10"/>
      <c r="Z582" s="9"/>
      <c r="AA582" s="9"/>
      <c r="AB582" s="9"/>
      <c r="AC582" s="9"/>
      <c r="AD582" s="9"/>
      <c r="AE582" s="9"/>
      <c r="AF582" s="9"/>
      <c r="AG582" s="9"/>
      <c r="AH582" s="9"/>
      <c r="AI582" s="9"/>
    </row>
    <row r="583" spans="1:35" ht="15.75" customHeight="1" x14ac:dyDescent="0.25">
      <c r="A583" s="10"/>
      <c r="B583" s="13"/>
      <c r="C583" s="13"/>
      <c r="D583" s="13"/>
      <c r="E583" s="13"/>
      <c r="F583" s="13"/>
      <c r="G583" s="13"/>
      <c r="H583" s="13"/>
      <c r="T583" s="13"/>
      <c r="U583" s="13"/>
      <c r="V583" s="13"/>
      <c r="W583" s="13"/>
      <c r="X583" s="13"/>
      <c r="Y583" s="10"/>
      <c r="Z583" s="9"/>
      <c r="AA583" s="9"/>
      <c r="AB583" s="9"/>
      <c r="AC583" s="9"/>
      <c r="AD583" s="9"/>
      <c r="AE583" s="9"/>
      <c r="AF583" s="9"/>
      <c r="AG583" s="9"/>
      <c r="AH583" s="9"/>
      <c r="AI583" s="9"/>
    </row>
    <row r="584" spans="1:35" ht="15.75" customHeight="1" x14ac:dyDescent="0.25">
      <c r="A584" s="10"/>
      <c r="B584" s="13"/>
      <c r="C584" s="13"/>
      <c r="D584" s="13"/>
      <c r="E584" s="13"/>
      <c r="F584" s="13"/>
      <c r="G584" s="13"/>
      <c r="H584" s="13"/>
      <c r="T584" s="13"/>
      <c r="U584" s="13"/>
      <c r="V584" s="13"/>
      <c r="W584" s="13"/>
      <c r="X584" s="13"/>
      <c r="Y584" s="10"/>
      <c r="Z584" s="9"/>
      <c r="AA584" s="9"/>
      <c r="AB584" s="9"/>
      <c r="AC584" s="9"/>
      <c r="AD584" s="9"/>
      <c r="AE584" s="9"/>
      <c r="AF584" s="9"/>
      <c r="AG584" s="9"/>
      <c r="AH584" s="9"/>
      <c r="AI584" s="9"/>
    </row>
    <row r="585" spans="1:35" ht="15.75" customHeight="1" x14ac:dyDescent="0.25">
      <c r="A585" s="10"/>
      <c r="B585" s="13"/>
      <c r="C585" s="13"/>
      <c r="D585" s="13"/>
      <c r="E585" s="13"/>
      <c r="F585" s="13"/>
      <c r="G585" s="13"/>
      <c r="H585" s="13"/>
      <c r="T585" s="13"/>
      <c r="U585" s="13"/>
      <c r="V585" s="13"/>
      <c r="W585" s="13"/>
      <c r="X585" s="13"/>
      <c r="Y585" s="10"/>
      <c r="Z585" s="9"/>
      <c r="AA585" s="9"/>
      <c r="AB585" s="9"/>
      <c r="AC585" s="9"/>
      <c r="AD585" s="9"/>
      <c r="AE585" s="9"/>
      <c r="AF585" s="9"/>
      <c r="AG585" s="9"/>
      <c r="AH585" s="9"/>
      <c r="AI585" s="9"/>
    </row>
    <row r="586" spans="1:35" ht="15.75" customHeight="1" x14ac:dyDescent="0.25">
      <c r="A586" s="10"/>
      <c r="B586" s="13"/>
      <c r="C586" s="13"/>
      <c r="D586" s="13"/>
      <c r="E586" s="13"/>
      <c r="F586" s="13"/>
      <c r="G586" s="13"/>
      <c r="H586" s="13"/>
      <c r="T586" s="13"/>
      <c r="U586" s="13"/>
      <c r="V586" s="13"/>
      <c r="W586" s="13"/>
      <c r="X586" s="13"/>
      <c r="Y586" s="10"/>
      <c r="Z586" s="9"/>
      <c r="AA586" s="9"/>
      <c r="AB586" s="9"/>
      <c r="AC586" s="9"/>
      <c r="AD586" s="9"/>
      <c r="AE586" s="9"/>
      <c r="AF586" s="9"/>
      <c r="AG586" s="9"/>
      <c r="AH586" s="9"/>
      <c r="AI586" s="9"/>
    </row>
    <row r="587" spans="1:35" ht="15.75" customHeight="1" x14ac:dyDescent="0.25">
      <c r="A587" s="10"/>
      <c r="B587" s="13"/>
      <c r="C587" s="13"/>
      <c r="D587" s="13"/>
      <c r="E587" s="13"/>
      <c r="F587" s="13"/>
      <c r="G587" s="13"/>
      <c r="H587" s="13"/>
      <c r="T587" s="13"/>
      <c r="U587" s="13"/>
      <c r="V587" s="13"/>
      <c r="W587" s="13"/>
      <c r="X587" s="13"/>
      <c r="Y587" s="10"/>
      <c r="Z587" s="9"/>
      <c r="AA587" s="9"/>
      <c r="AB587" s="9"/>
      <c r="AC587" s="9"/>
      <c r="AD587" s="9"/>
      <c r="AE587" s="9"/>
      <c r="AF587" s="9"/>
      <c r="AG587" s="9"/>
      <c r="AH587" s="9"/>
      <c r="AI587" s="9"/>
    </row>
    <row r="588" spans="1:35" ht="15.75" customHeight="1" x14ac:dyDescent="0.25">
      <c r="A588" s="10"/>
      <c r="B588" s="13"/>
      <c r="C588" s="13"/>
      <c r="D588" s="13"/>
      <c r="E588" s="13"/>
      <c r="F588" s="13"/>
      <c r="G588" s="13"/>
      <c r="H588" s="13"/>
      <c r="T588" s="13"/>
      <c r="U588" s="13"/>
      <c r="V588" s="13"/>
      <c r="W588" s="13"/>
      <c r="X588" s="13"/>
      <c r="Y588" s="10"/>
      <c r="Z588" s="9"/>
      <c r="AA588" s="9"/>
      <c r="AB588" s="9"/>
      <c r="AC588" s="9"/>
      <c r="AD588" s="9"/>
      <c r="AE588" s="9"/>
      <c r="AF588" s="9"/>
      <c r="AG588" s="9"/>
      <c r="AH588" s="9"/>
      <c r="AI588" s="9"/>
    </row>
    <row r="589" spans="1:35" ht="15.75" customHeight="1" x14ac:dyDescent="0.25">
      <c r="A589" s="10"/>
      <c r="B589" s="13"/>
      <c r="C589" s="13"/>
      <c r="D589" s="13"/>
      <c r="E589" s="13"/>
      <c r="F589" s="13"/>
      <c r="G589" s="13"/>
      <c r="H589" s="13"/>
      <c r="T589" s="13"/>
      <c r="U589" s="13"/>
      <c r="V589" s="13"/>
      <c r="W589" s="13"/>
      <c r="X589" s="13"/>
      <c r="Y589" s="10"/>
      <c r="Z589" s="9"/>
      <c r="AA589" s="9"/>
      <c r="AB589" s="9"/>
      <c r="AC589" s="9"/>
      <c r="AD589" s="9"/>
      <c r="AE589" s="9"/>
      <c r="AF589" s="9"/>
      <c r="AG589" s="9"/>
      <c r="AH589" s="9"/>
      <c r="AI589" s="9"/>
    </row>
    <row r="590" spans="1:35" ht="15.75" customHeight="1" x14ac:dyDescent="0.25">
      <c r="A590" s="10"/>
      <c r="B590" s="13"/>
      <c r="C590" s="13"/>
      <c r="D590" s="13"/>
      <c r="E590" s="13"/>
      <c r="F590" s="13"/>
      <c r="G590" s="13"/>
      <c r="H590" s="13"/>
      <c r="T590" s="13"/>
      <c r="U590" s="13"/>
      <c r="V590" s="13"/>
      <c r="W590" s="13"/>
      <c r="X590" s="13"/>
      <c r="Y590" s="10"/>
      <c r="Z590" s="9"/>
      <c r="AA590" s="9"/>
      <c r="AB590" s="9"/>
      <c r="AC590" s="9"/>
      <c r="AD590" s="9"/>
      <c r="AE590" s="9"/>
      <c r="AF590" s="9"/>
      <c r="AG590" s="9"/>
      <c r="AH590" s="9"/>
      <c r="AI590" s="9"/>
    </row>
    <row r="591" spans="1:35" ht="15.75" customHeight="1" x14ac:dyDescent="0.25">
      <c r="A591" s="10"/>
      <c r="B591" s="13"/>
      <c r="C591" s="13"/>
      <c r="D591" s="13"/>
      <c r="E591" s="13"/>
      <c r="F591" s="13"/>
      <c r="G591" s="13"/>
      <c r="H591" s="13"/>
      <c r="T591" s="13"/>
      <c r="U591" s="13"/>
      <c r="V591" s="13"/>
      <c r="W591" s="13"/>
      <c r="X591" s="13"/>
      <c r="Y591" s="10"/>
      <c r="Z591" s="9"/>
      <c r="AA591" s="9"/>
      <c r="AB591" s="9"/>
      <c r="AC591" s="9"/>
      <c r="AD591" s="9"/>
      <c r="AE591" s="9"/>
      <c r="AF591" s="9"/>
      <c r="AG591" s="9"/>
      <c r="AH591" s="9"/>
      <c r="AI591" s="9"/>
    </row>
    <row r="592" spans="1:35" ht="15.75" customHeight="1" x14ac:dyDescent="0.25">
      <c r="A592" s="10"/>
      <c r="B592" s="13"/>
      <c r="C592" s="13"/>
      <c r="D592" s="13"/>
      <c r="E592" s="13"/>
      <c r="F592" s="13"/>
      <c r="G592" s="13"/>
      <c r="H592" s="13"/>
      <c r="T592" s="13"/>
      <c r="U592" s="13"/>
      <c r="V592" s="13"/>
      <c r="W592" s="13"/>
      <c r="X592" s="13"/>
      <c r="Y592" s="10"/>
      <c r="Z592" s="9"/>
      <c r="AA592" s="9"/>
      <c r="AB592" s="9"/>
      <c r="AC592" s="9"/>
      <c r="AD592" s="9"/>
      <c r="AE592" s="9"/>
      <c r="AF592" s="9"/>
      <c r="AG592" s="9"/>
      <c r="AH592" s="9"/>
      <c r="AI592" s="9"/>
    </row>
    <row r="593" spans="1:35" ht="15.75" customHeight="1" x14ac:dyDescent="0.25">
      <c r="A593" s="10"/>
      <c r="B593" s="13"/>
      <c r="C593" s="13"/>
      <c r="D593" s="13"/>
      <c r="E593" s="13"/>
      <c r="F593" s="13"/>
      <c r="G593" s="13"/>
      <c r="H593" s="13"/>
      <c r="T593" s="13"/>
      <c r="U593" s="13"/>
      <c r="V593" s="13"/>
      <c r="W593" s="13"/>
      <c r="X593" s="13"/>
      <c r="Y593" s="10"/>
      <c r="Z593" s="9"/>
      <c r="AA593" s="9"/>
      <c r="AB593" s="9"/>
      <c r="AC593" s="9"/>
      <c r="AD593" s="9"/>
      <c r="AE593" s="9"/>
      <c r="AF593" s="9"/>
      <c r="AG593" s="9"/>
      <c r="AH593" s="9"/>
      <c r="AI593" s="9"/>
    </row>
    <row r="594" spans="1:35" ht="15.75" customHeight="1" x14ac:dyDescent="0.25">
      <c r="A594" s="10"/>
      <c r="B594" s="13"/>
      <c r="C594" s="13"/>
      <c r="D594" s="13"/>
      <c r="E594" s="13"/>
      <c r="F594" s="13"/>
      <c r="G594" s="13"/>
      <c r="H594" s="13"/>
      <c r="T594" s="13"/>
      <c r="U594" s="13"/>
      <c r="V594" s="13"/>
      <c r="W594" s="13"/>
      <c r="X594" s="13"/>
      <c r="Y594" s="10"/>
      <c r="Z594" s="9"/>
      <c r="AA594" s="9"/>
      <c r="AB594" s="9"/>
      <c r="AC594" s="9"/>
      <c r="AD594" s="9"/>
      <c r="AE594" s="9"/>
      <c r="AF594" s="9"/>
      <c r="AG594" s="9"/>
      <c r="AH594" s="9"/>
      <c r="AI594" s="9"/>
    </row>
    <row r="595" spans="1:35" ht="15.75" customHeight="1" x14ac:dyDescent="0.25">
      <c r="A595" s="10"/>
      <c r="B595" s="13"/>
      <c r="C595" s="13"/>
      <c r="D595" s="13"/>
      <c r="E595" s="13"/>
      <c r="F595" s="13"/>
      <c r="G595" s="13"/>
      <c r="H595" s="13"/>
      <c r="T595" s="13"/>
      <c r="U595" s="13"/>
      <c r="V595" s="13"/>
      <c r="W595" s="13"/>
      <c r="X595" s="13"/>
      <c r="Y595" s="10"/>
      <c r="Z595" s="9"/>
      <c r="AA595" s="9"/>
      <c r="AB595" s="9"/>
      <c r="AC595" s="9"/>
      <c r="AD595" s="9"/>
      <c r="AE595" s="9"/>
      <c r="AF595" s="9"/>
      <c r="AG595" s="9"/>
      <c r="AH595" s="9"/>
      <c r="AI595" s="9"/>
    </row>
    <row r="596" spans="1:35" ht="15.75" customHeight="1" x14ac:dyDescent="0.25">
      <c r="A596" s="10"/>
      <c r="B596" s="13"/>
      <c r="C596" s="13"/>
      <c r="D596" s="13"/>
      <c r="E596" s="13"/>
      <c r="F596" s="13"/>
      <c r="G596" s="13"/>
      <c r="H596" s="13"/>
      <c r="T596" s="13"/>
      <c r="U596" s="13"/>
      <c r="V596" s="13"/>
      <c r="W596" s="13"/>
      <c r="X596" s="13"/>
      <c r="Y596" s="10"/>
      <c r="Z596" s="9"/>
      <c r="AA596" s="9"/>
      <c r="AB596" s="9"/>
      <c r="AC596" s="9"/>
      <c r="AD596" s="9"/>
      <c r="AE596" s="9"/>
      <c r="AF596" s="9"/>
      <c r="AG596" s="9"/>
      <c r="AH596" s="9"/>
      <c r="AI596" s="9"/>
    </row>
    <row r="597" spans="1:35" ht="15.75" customHeight="1" x14ac:dyDescent="0.25">
      <c r="A597" s="10"/>
      <c r="B597" s="13"/>
      <c r="C597" s="13"/>
      <c r="D597" s="13"/>
      <c r="E597" s="13"/>
      <c r="F597" s="13"/>
      <c r="G597" s="13"/>
      <c r="H597" s="13"/>
      <c r="T597" s="13"/>
      <c r="U597" s="13"/>
      <c r="V597" s="13"/>
      <c r="W597" s="13"/>
      <c r="X597" s="13"/>
      <c r="Y597" s="10"/>
      <c r="Z597" s="9"/>
      <c r="AA597" s="9"/>
      <c r="AB597" s="9"/>
      <c r="AC597" s="9"/>
      <c r="AD597" s="9"/>
      <c r="AE597" s="9"/>
      <c r="AF597" s="9"/>
      <c r="AG597" s="9"/>
      <c r="AH597" s="9"/>
      <c r="AI597" s="9"/>
    </row>
    <row r="598" spans="1:35" ht="15.75" customHeight="1" x14ac:dyDescent="0.25">
      <c r="A598" s="10"/>
      <c r="B598" s="13"/>
      <c r="C598" s="13"/>
      <c r="D598" s="13"/>
      <c r="E598" s="13"/>
      <c r="F598" s="13"/>
      <c r="G598" s="13"/>
      <c r="H598" s="13"/>
      <c r="T598" s="13"/>
      <c r="U598" s="13"/>
      <c r="V598" s="13"/>
      <c r="W598" s="13"/>
      <c r="X598" s="13"/>
      <c r="Y598" s="10"/>
      <c r="Z598" s="9"/>
      <c r="AA598" s="9"/>
      <c r="AB598" s="9"/>
      <c r="AC598" s="9"/>
      <c r="AD598" s="9"/>
      <c r="AE598" s="9"/>
      <c r="AF598" s="9"/>
      <c r="AG598" s="9"/>
      <c r="AH598" s="9"/>
      <c r="AI598" s="9"/>
    </row>
    <row r="599" spans="1:35" ht="15.75" customHeight="1" x14ac:dyDescent="0.25">
      <c r="A599" s="10"/>
      <c r="B599" s="13"/>
      <c r="C599" s="13"/>
      <c r="D599" s="13"/>
      <c r="E599" s="13"/>
      <c r="F599" s="13"/>
      <c r="G599" s="13"/>
      <c r="H599" s="13"/>
      <c r="T599" s="13"/>
      <c r="U599" s="13"/>
      <c r="V599" s="13"/>
      <c r="W599" s="13"/>
      <c r="X599" s="13"/>
      <c r="Y599" s="10"/>
      <c r="Z599" s="9"/>
      <c r="AA599" s="9"/>
      <c r="AB599" s="9"/>
      <c r="AC599" s="9"/>
      <c r="AD599" s="9"/>
      <c r="AE599" s="9"/>
      <c r="AF599" s="9"/>
      <c r="AG599" s="9"/>
      <c r="AH599" s="9"/>
      <c r="AI599" s="9"/>
    </row>
    <row r="600" spans="1:35" ht="15.75" customHeight="1" x14ac:dyDescent="0.25">
      <c r="A600" s="10"/>
      <c r="B600" s="13"/>
      <c r="C600" s="13"/>
      <c r="D600" s="13"/>
      <c r="E600" s="13"/>
      <c r="F600" s="13"/>
      <c r="G600" s="13"/>
      <c r="H600" s="13"/>
      <c r="T600" s="13"/>
      <c r="U600" s="13"/>
      <c r="V600" s="13"/>
      <c r="W600" s="13"/>
      <c r="X600" s="13"/>
      <c r="Y600" s="10"/>
      <c r="Z600" s="9"/>
      <c r="AA600" s="9"/>
      <c r="AB600" s="9"/>
      <c r="AC600" s="9"/>
      <c r="AD600" s="9"/>
      <c r="AE600" s="9"/>
      <c r="AF600" s="9"/>
      <c r="AG600" s="9"/>
      <c r="AH600" s="9"/>
      <c r="AI600" s="9"/>
    </row>
    <row r="601" spans="1:35" ht="15.75" customHeight="1" x14ac:dyDescent="0.25">
      <c r="A601" s="10"/>
      <c r="B601" s="13"/>
      <c r="C601" s="13"/>
      <c r="D601" s="13"/>
      <c r="E601" s="13"/>
      <c r="F601" s="13"/>
      <c r="G601" s="13"/>
      <c r="H601" s="13"/>
      <c r="T601" s="13"/>
      <c r="U601" s="13"/>
      <c r="V601" s="13"/>
      <c r="W601" s="13"/>
      <c r="X601" s="13"/>
      <c r="Y601" s="10"/>
      <c r="Z601" s="9"/>
      <c r="AA601" s="9"/>
      <c r="AB601" s="9"/>
      <c r="AC601" s="9"/>
      <c r="AD601" s="9"/>
      <c r="AE601" s="9"/>
      <c r="AF601" s="9"/>
      <c r="AG601" s="9"/>
      <c r="AH601" s="9"/>
      <c r="AI601" s="9"/>
    </row>
    <row r="602" spans="1:35" ht="15.75" customHeight="1" x14ac:dyDescent="0.25">
      <c r="A602" s="10"/>
      <c r="B602" s="13"/>
      <c r="C602" s="13"/>
      <c r="D602" s="13"/>
      <c r="E602" s="13"/>
      <c r="F602" s="13"/>
      <c r="G602" s="13"/>
      <c r="H602" s="13"/>
      <c r="T602" s="13"/>
      <c r="U602" s="13"/>
      <c r="V602" s="13"/>
      <c r="W602" s="13"/>
      <c r="X602" s="13"/>
      <c r="Y602" s="10"/>
      <c r="Z602" s="9"/>
      <c r="AA602" s="9"/>
      <c r="AB602" s="9"/>
      <c r="AC602" s="9"/>
      <c r="AD602" s="9"/>
      <c r="AE602" s="9"/>
      <c r="AF602" s="9"/>
      <c r="AG602" s="9"/>
      <c r="AH602" s="9"/>
      <c r="AI602" s="9"/>
    </row>
    <row r="603" spans="1:35" ht="15.75" customHeight="1" x14ac:dyDescent="0.25">
      <c r="A603" s="10"/>
      <c r="B603" s="13"/>
      <c r="C603" s="13"/>
      <c r="D603" s="13"/>
      <c r="E603" s="13"/>
      <c r="F603" s="13"/>
      <c r="G603" s="13"/>
      <c r="H603" s="13"/>
      <c r="T603" s="13"/>
      <c r="U603" s="13"/>
      <c r="V603" s="13"/>
      <c r="W603" s="13"/>
      <c r="X603" s="13"/>
      <c r="Y603" s="10"/>
      <c r="Z603" s="9"/>
      <c r="AA603" s="9"/>
      <c r="AB603" s="9"/>
      <c r="AC603" s="9"/>
      <c r="AD603" s="9"/>
      <c r="AE603" s="9"/>
      <c r="AF603" s="9"/>
      <c r="AG603" s="9"/>
      <c r="AH603" s="9"/>
      <c r="AI603" s="9"/>
    </row>
    <row r="604" spans="1:35" ht="15.75" customHeight="1" x14ac:dyDescent="0.25">
      <c r="A604" s="10"/>
      <c r="B604" s="13"/>
      <c r="C604" s="13"/>
      <c r="D604" s="13"/>
      <c r="E604" s="13"/>
      <c r="F604" s="13"/>
      <c r="G604" s="13"/>
      <c r="H604" s="13"/>
      <c r="T604" s="13"/>
      <c r="U604" s="13"/>
      <c r="V604" s="13"/>
      <c r="W604" s="13"/>
      <c r="X604" s="13"/>
      <c r="Y604" s="10"/>
      <c r="Z604" s="9"/>
      <c r="AA604" s="9"/>
      <c r="AB604" s="9"/>
      <c r="AC604" s="9"/>
      <c r="AD604" s="9"/>
      <c r="AE604" s="9"/>
      <c r="AF604" s="9"/>
      <c r="AG604" s="9"/>
      <c r="AH604" s="9"/>
      <c r="AI604" s="9"/>
    </row>
    <row r="605" spans="1:35" ht="15.75" customHeight="1" x14ac:dyDescent="0.25">
      <c r="A605" s="10"/>
      <c r="B605" s="13"/>
      <c r="C605" s="13"/>
      <c r="D605" s="13"/>
      <c r="E605" s="13"/>
      <c r="F605" s="13"/>
      <c r="G605" s="13"/>
      <c r="H605" s="13"/>
      <c r="T605" s="13"/>
      <c r="U605" s="13"/>
      <c r="V605" s="13"/>
      <c r="W605" s="13"/>
      <c r="X605" s="13"/>
      <c r="Y605" s="10"/>
      <c r="Z605" s="9"/>
      <c r="AA605" s="9"/>
      <c r="AB605" s="9"/>
      <c r="AC605" s="9"/>
      <c r="AD605" s="9"/>
      <c r="AE605" s="9"/>
      <c r="AF605" s="9"/>
      <c r="AG605" s="9"/>
      <c r="AH605" s="9"/>
      <c r="AI605" s="9"/>
    </row>
    <row r="606" spans="1:35" ht="15.75" customHeight="1" x14ac:dyDescent="0.25">
      <c r="A606" s="10"/>
      <c r="B606" s="13"/>
      <c r="C606" s="13"/>
      <c r="D606" s="13"/>
      <c r="E606" s="13"/>
      <c r="F606" s="13"/>
      <c r="G606" s="13"/>
      <c r="H606" s="13"/>
      <c r="T606" s="13"/>
      <c r="U606" s="13"/>
      <c r="V606" s="13"/>
      <c r="W606" s="13"/>
      <c r="X606" s="13"/>
      <c r="Y606" s="10"/>
      <c r="Z606" s="9"/>
      <c r="AA606" s="9"/>
      <c r="AB606" s="9"/>
      <c r="AC606" s="9"/>
      <c r="AD606" s="9"/>
      <c r="AE606" s="9"/>
      <c r="AF606" s="9"/>
      <c r="AG606" s="9"/>
      <c r="AH606" s="9"/>
      <c r="AI606" s="9"/>
    </row>
    <row r="607" spans="1:35" ht="15.75" customHeight="1" x14ac:dyDescent="0.25">
      <c r="A607" s="10"/>
      <c r="B607" s="13"/>
      <c r="C607" s="13"/>
      <c r="D607" s="13"/>
      <c r="E607" s="13"/>
      <c r="F607" s="13"/>
      <c r="G607" s="13"/>
      <c r="H607" s="13"/>
      <c r="T607" s="13"/>
      <c r="U607" s="13"/>
      <c r="V607" s="13"/>
      <c r="W607" s="13"/>
      <c r="X607" s="13"/>
      <c r="Y607" s="10"/>
      <c r="Z607" s="9"/>
      <c r="AA607" s="9"/>
      <c r="AB607" s="9"/>
      <c r="AC607" s="9"/>
      <c r="AD607" s="9"/>
      <c r="AE607" s="9"/>
      <c r="AF607" s="9"/>
      <c r="AG607" s="9"/>
      <c r="AH607" s="9"/>
      <c r="AI607" s="9"/>
    </row>
    <row r="608" spans="1:35" ht="15.75" customHeight="1" x14ac:dyDescent="0.25">
      <c r="A608" s="10"/>
      <c r="B608" s="13"/>
      <c r="C608" s="13"/>
      <c r="D608" s="13"/>
      <c r="E608" s="13"/>
      <c r="F608" s="13"/>
      <c r="G608" s="13"/>
      <c r="H608" s="13"/>
      <c r="T608" s="13"/>
      <c r="U608" s="13"/>
      <c r="V608" s="13"/>
      <c r="W608" s="13"/>
      <c r="X608" s="13"/>
      <c r="Y608" s="10"/>
      <c r="Z608" s="9"/>
      <c r="AA608" s="9"/>
      <c r="AB608" s="9"/>
      <c r="AC608" s="9"/>
      <c r="AD608" s="9"/>
      <c r="AE608" s="9"/>
      <c r="AF608" s="9"/>
      <c r="AG608" s="9"/>
      <c r="AH608" s="9"/>
      <c r="AI608" s="9"/>
    </row>
    <row r="609" spans="1:35" ht="15.75" customHeight="1" x14ac:dyDescent="0.25">
      <c r="A609" s="10"/>
      <c r="B609" s="13"/>
      <c r="C609" s="13"/>
      <c r="D609" s="13"/>
      <c r="E609" s="13"/>
      <c r="F609" s="13"/>
      <c r="G609" s="13"/>
      <c r="H609" s="13"/>
      <c r="T609" s="13"/>
      <c r="U609" s="13"/>
      <c r="V609" s="13"/>
      <c r="W609" s="13"/>
      <c r="X609" s="13"/>
      <c r="Y609" s="10"/>
      <c r="Z609" s="9"/>
      <c r="AA609" s="9"/>
      <c r="AB609" s="9"/>
      <c r="AC609" s="9"/>
      <c r="AD609" s="9"/>
      <c r="AE609" s="9"/>
      <c r="AF609" s="9"/>
      <c r="AG609" s="9"/>
      <c r="AH609" s="9"/>
      <c r="AI609" s="9"/>
    </row>
    <row r="610" spans="1:35" ht="15.75" customHeight="1" x14ac:dyDescent="0.25">
      <c r="A610" s="10"/>
      <c r="B610" s="13"/>
      <c r="C610" s="13"/>
      <c r="D610" s="13"/>
      <c r="E610" s="13"/>
      <c r="F610" s="13"/>
      <c r="G610" s="13"/>
      <c r="H610" s="13"/>
      <c r="T610" s="13"/>
      <c r="U610" s="13"/>
      <c r="V610" s="13"/>
      <c r="W610" s="13"/>
      <c r="X610" s="13"/>
      <c r="Y610" s="10"/>
      <c r="Z610" s="9"/>
      <c r="AA610" s="9"/>
      <c r="AB610" s="9"/>
      <c r="AC610" s="9"/>
      <c r="AD610" s="9"/>
      <c r="AE610" s="9"/>
      <c r="AF610" s="9"/>
      <c r="AG610" s="9"/>
      <c r="AH610" s="9"/>
      <c r="AI610" s="9"/>
    </row>
    <row r="611" spans="1:35" ht="15.75" customHeight="1" x14ac:dyDescent="0.25">
      <c r="A611" s="10"/>
      <c r="B611" s="13"/>
      <c r="C611" s="13"/>
      <c r="D611" s="13"/>
      <c r="E611" s="13"/>
      <c r="F611" s="13"/>
      <c r="G611" s="13"/>
      <c r="H611" s="13"/>
      <c r="T611" s="13"/>
      <c r="U611" s="13"/>
      <c r="V611" s="13"/>
      <c r="W611" s="13"/>
      <c r="X611" s="13"/>
      <c r="Y611" s="10"/>
      <c r="Z611" s="9"/>
      <c r="AA611" s="9"/>
      <c r="AB611" s="9"/>
      <c r="AC611" s="9"/>
      <c r="AD611" s="9"/>
      <c r="AE611" s="9"/>
      <c r="AF611" s="9"/>
      <c r="AG611" s="9"/>
      <c r="AH611" s="9"/>
      <c r="AI611" s="9"/>
    </row>
    <row r="612" spans="1:35" ht="15.75" customHeight="1" x14ac:dyDescent="0.25">
      <c r="A612" s="10"/>
      <c r="B612" s="13"/>
      <c r="C612" s="13"/>
      <c r="D612" s="13"/>
      <c r="E612" s="13"/>
      <c r="F612" s="13"/>
      <c r="G612" s="13"/>
      <c r="H612" s="13"/>
      <c r="T612" s="13"/>
      <c r="U612" s="13"/>
      <c r="V612" s="13"/>
      <c r="W612" s="13"/>
      <c r="X612" s="13"/>
      <c r="Y612" s="10"/>
      <c r="Z612" s="9"/>
      <c r="AA612" s="9"/>
      <c r="AB612" s="9"/>
      <c r="AC612" s="9"/>
      <c r="AD612" s="9"/>
      <c r="AE612" s="9"/>
      <c r="AF612" s="9"/>
      <c r="AG612" s="9"/>
      <c r="AH612" s="9"/>
      <c r="AI612" s="9"/>
    </row>
    <row r="613" spans="1:35" ht="15.75" customHeight="1" x14ac:dyDescent="0.25">
      <c r="A613" s="10"/>
      <c r="B613" s="13"/>
      <c r="C613" s="13"/>
      <c r="D613" s="13"/>
      <c r="E613" s="13"/>
      <c r="F613" s="13"/>
      <c r="G613" s="13"/>
      <c r="H613" s="13"/>
      <c r="T613" s="13"/>
      <c r="U613" s="13"/>
      <c r="V613" s="13"/>
      <c r="W613" s="13"/>
      <c r="X613" s="13"/>
      <c r="Y613" s="10"/>
      <c r="Z613" s="9"/>
      <c r="AA613" s="9"/>
      <c r="AB613" s="9"/>
      <c r="AC613" s="9"/>
      <c r="AD613" s="9"/>
      <c r="AE613" s="9"/>
      <c r="AF613" s="9"/>
      <c r="AG613" s="9"/>
      <c r="AH613" s="9"/>
      <c r="AI613" s="9"/>
    </row>
    <row r="614" spans="1:35" ht="15.75" customHeight="1" x14ac:dyDescent="0.25">
      <c r="A614" s="10"/>
      <c r="B614" s="13"/>
      <c r="C614" s="13"/>
      <c r="D614" s="13"/>
      <c r="E614" s="13"/>
      <c r="F614" s="13"/>
      <c r="G614" s="13"/>
      <c r="H614" s="13"/>
      <c r="T614" s="13"/>
      <c r="U614" s="13"/>
      <c r="V614" s="13"/>
      <c r="W614" s="13"/>
      <c r="X614" s="13"/>
      <c r="Y614" s="10"/>
      <c r="Z614" s="9"/>
      <c r="AA614" s="9"/>
      <c r="AB614" s="9"/>
      <c r="AC614" s="9"/>
      <c r="AD614" s="9"/>
      <c r="AE614" s="9"/>
      <c r="AF614" s="9"/>
      <c r="AG614" s="9"/>
      <c r="AH614" s="9"/>
      <c r="AI614" s="9"/>
    </row>
    <row r="615" spans="1:35" ht="15.75" customHeight="1" x14ac:dyDescent="0.25">
      <c r="A615" s="10"/>
      <c r="B615" s="13"/>
      <c r="C615" s="13"/>
      <c r="D615" s="13"/>
      <c r="E615" s="13"/>
      <c r="F615" s="13"/>
      <c r="G615" s="13"/>
      <c r="H615" s="13"/>
      <c r="T615" s="13"/>
      <c r="U615" s="13"/>
      <c r="V615" s="13"/>
      <c r="W615" s="13"/>
      <c r="X615" s="13"/>
      <c r="Y615" s="10"/>
      <c r="Z615" s="9"/>
      <c r="AA615" s="9"/>
      <c r="AB615" s="9"/>
      <c r="AC615" s="9"/>
      <c r="AD615" s="9"/>
      <c r="AE615" s="9"/>
      <c r="AF615" s="9"/>
      <c r="AG615" s="9"/>
      <c r="AH615" s="9"/>
      <c r="AI615" s="9"/>
    </row>
    <row r="616" spans="1:35" ht="15.75" customHeight="1" x14ac:dyDescent="0.25">
      <c r="A616" s="10"/>
      <c r="B616" s="13"/>
      <c r="C616" s="13"/>
      <c r="D616" s="13"/>
      <c r="E616" s="13"/>
      <c r="F616" s="13"/>
      <c r="G616" s="13"/>
      <c r="H616" s="13"/>
      <c r="T616" s="13"/>
      <c r="U616" s="13"/>
      <c r="V616" s="13"/>
      <c r="W616" s="13"/>
      <c r="X616" s="13"/>
      <c r="Y616" s="10"/>
      <c r="Z616" s="9"/>
      <c r="AA616" s="9"/>
      <c r="AB616" s="9"/>
      <c r="AC616" s="9"/>
      <c r="AD616" s="9"/>
      <c r="AE616" s="9"/>
      <c r="AF616" s="9"/>
      <c r="AG616" s="9"/>
      <c r="AH616" s="9"/>
      <c r="AI616" s="9"/>
    </row>
    <row r="617" spans="1:35" ht="15.75" customHeight="1" x14ac:dyDescent="0.25">
      <c r="A617" s="10"/>
      <c r="B617" s="13"/>
      <c r="C617" s="13"/>
      <c r="D617" s="13"/>
      <c r="E617" s="13"/>
      <c r="F617" s="13"/>
      <c r="G617" s="13"/>
      <c r="H617" s="13"/>
      <c r="T617" s="13"/>
      <c r="U617" s="13"/>
      <c r="V617" s="13"/>
      <c r="W617" s="13"/>
      <c r="X617" s="13"/>
      <c r="Y617" s="10"/>
      <c r="Z617" s="9"/>
      <c r="AA617" s="9"/>
      <c r="AB617" s="9"/>
      <c r="AC617" s="9"/>
      <c r="AD617" s="9"/>
      <c r="AE617" s="9"/>
      <c r="AF617" s="9"/>
      <c r="AG617" s="9"/>
      <c r="AH617" s="9"/>
      <c r="AI617" s="9"/>
    </row>
    <row r="618" spans="1:35" ht="15.75" customHeight="1" x14ac:dyDescent="0.25">
      <c r="A618" s="10"/>
      <c r="B618" s="13"/>
      <c r="C618" s="13"/>
      <c r="D618" s="13"/>
      <c r="E618" s="13"/>
      <c r="F618" s="13"/>
      <c r="G618" s="13"/>
      <c r="H618" s="13"/>
      <c r="T618" s="13"/>
      <c r="U618" s="13"/>
      <c r="V618" s="13"/>
      <c r="W618" s="13"/>
      <c r="X618" s="13"/>
      <c r="Y618" s="10"/>
      <c r="Z618" s="9"/>
      <c r="AA618" s="9"/>
      <c r="AB618" s="9"/>
      <c r="AC618" s="9"/>
      <c r="AD618" s="9"/>
      <c r="AE618" s="9"/>
      <c r="AF618" s="9"/>
      <c r="AG618" s="9"/>
      <c r="AH618" s="9"/>
      <c r="AI618" s="9"/>
    </row>
    <row r="619" spans="1:35" ht="15.75" customHeight="1" x14ac:dyDescent="0.25">
      <c r="A619" s="10"/>
      <c r="B619" s="13"/>
      <c r="C619" s="13"/>
      <c r="D619" s="13"/>
      <c r="E619" s="13"/>
      <c r="F619" s="13"/>
      <c r="G619" s="13"/>
      <c r="H619" s="13"/>
      <c r="T619" s="13"/>
      <c r="U619" s="13"/>
      <c r="V619" s="13"/>
      <c r="W619" s="13"/>
      <c r="X619" s="13"/>
      <c r="Y619" s="10"/>
      <c r="Z619" s="9"/>
      <c r="AA619" s="9"/>
      <c r="AB619" s="9"/>
      <c r="AC619" s="9"/>
      <c r="AD619" s="9"/>
      <c r="AE619" s="9"/>
      <c r="AF619" s="9"/>
      <c r="AG619" s="9"/>
      <c r="AH619" s="9"/>
      <c r="AI619" s="9"/>
    </row>
    <row r="620" spans="1:35" ht="15.75" customHeight="1" x14ac:dyDescent="0.25">
      <c r="A620" s="10"/>
      <c r="B620" s="13"/>
      <c r="C620" s="13"/>
      <c r="D620" s="13"/>
      <c r="E620" s="13"/>
      <c r="F620" s="13"/>
      <c r="G620" s="13"/>
      <c r="H620" s="13"/>
      <c r="T620" s="13"/>
      <c r="U620" s="13"/>
      <c r="V620" s="13"/>
      <c r="W620" s="13"/>
      <c r="X620" s="13"/>
      <c r="Y620" s="10"/>
      <c r="Z620" s="9"/>
      <c r="AA620" s="9"/>
      <c r="AB620" s="9"/>
      <c r="AC620" s="9"/>
      <c r="AD620" s="9"/>
      <c r="AE620" s="9"/>
      <c r="AF620" s="9"/>
      <c r="AG620" s="9"/>
      <c r="AH620" s="9"/>
      <c r="AI620" s="9"/>
    </row>
    <row r="621" spans="1:35" ht="15.75" customHeight="1" x14ac:dyDescent="0.25">
      <c r="A621" s="10"/>
      <c r="B621" s="13"/>
      <c r="C621" s="13"/>
      <c r="D621" s="13"/>
      <c r="E621" s="13"/>
      <c r="F621" s="13"/>
      <c r="G621" s="13"/>
      <c r="H621" s="13"/>
      <c r="T621" s="13"/>
      <c r="U621" s="13"/>
      <c r="V621" s="13"/>
      <c r="W621" s="13"/>
      <c r="X621" s="13"/>
      <c r="Y621" s="10"/>
      <c r="Z621" s="9"/>
      <c r="AA621" s="9"/>
      <c r="AB621" s="9"/>
      <c r="AC621" s="9"/>
      <c r="AD621" s="9"/>
      <c r="AE621" s="9"/>
      <c r="AF621" s="9"/>
      <c r="AG621" s="9"/>
      <c r="AH621" s="9"/>
      <c r="AI621" s="9"/>
    </row>
    <row r="622" spans="1:35" ht="15.75" customHeight="1" x14ac:dyDescent="0.25">
      <c r="A622" s="10"/>
      <c r="B622" s="13"/>
      <c r="C622" s="13"/>
      <c r="D622" s="13"/>
      <c r="E622" s="13"/>
      <c r="F622" s="13"/>
      <c r="G622" s="13"/>
      <c r="H622" s="13"/>
      <c r="T622" s="13"/>
      <c r="U622" s="13"/>
      <c r="V622" s="13"/>
      <c r="W622" s="13"/>
      <c r="X622" s="13"/>
      <c r="Y622" s="10"/>
      <c r="Z622" s="9"/>
      <c r="AA622" s="9"/>
      <c r="AB622" s="9"/>
      <c r="AC622" s="9"/>
      <c r="AD622" s="9"/>
      <c r="AE622" s="9"/>
      <c r="AF622" s="9"/>
      <c r="AG622" s="9"/>
      <c r="AH622" s="9"/>
      <c r="AI622" s="9"/>
    </row>
    <row r="623" spans="1:35" ht="15.75" customHeight="1" x14ac:dyDescent="0.25">
      <c r="A623" s="10"/>
      <c r="B623" s="13"/>
      <c r="C623" s="13"/>
      <c r="D623" s="13"/>
      <c r="E623" s="13"/>
      <c r="F623" s="13"/>
      <c r="G623" s="13"/>
      <c r="H623" s="13"/>
      <c r="T623" s="13"/>
      <c r="U623" s="13"/>
      <c r="V623" s="13"/>
      <c r="W623" s="13"/>
      <c r="X623" s="13"/>
      <c r="Y623" s="10"/>
      <c r="Z623" s="9"/>
      <c r="AA623" s="9"/>
      <c r="AB623" s="9"/>
      <c r="AC623" s="9"/>
      <c r="AD623" s="9"/>
      <c r="AE623" s="9"/>
      <c r="AF623" s="9"/>
      <c r="AG623" s="9"/>
      <c r="AH623" s="9"/>
      <c r="AI623" s="9"/>
    </row>
    <row r="624" spans="1:35" ht="15.75" customHeight="1" x14ac:dyDescent="0.25">
      <c r="A624" s="10"/>
      <c r="B624" s="13"/>
      <c r="C624" s="13"/>
      <c r="D624" s="13"/>
      <c r="E624" s="13"/>
      <c r="F624" s="13"/>
      <c r="G624" s="13"/>
      <c r="H624" s="13"/>
      <c r="T624" s="13"/>
      <c r="U624" s="13"/>
      <c r="V624" s="13"/>
      <c r="W624" s="13"/>
      <c r="X624" s="13"/>
      <c r="Y624" s="10"/>
      <c r="Z624" s="9"/>
      <c r="AA624" s="9"/>
      <c r="AB624" s="9"/>
      <c r="AC624" s="9"/>
      <c r="AD624" s="9"/>
      <c r="AE624" s="9"/>
      <c r="AF624" s="9"/>
      <c r="AG624" s="9"/>
      <c r="AH624" s="9"/>
      <c r="AI624" s="9"/>
    </row>
    <row r="625" spans="1:35" ht="15.75" customHeight="1" x14ac:dyDescent="0.25">
      <c r="A625" s="10"/>
      <c r="B625" s="13"/>
      <c r="C625" s="13"/>
      <c r="D625" s="13"/>
      <c r="E625" s="13"/>
      <c r="F625" s="13"/>
      <c r="G625" s="13"/>
      <c r="H625" s="13"/>
      <c r="T625" s="13"/>
      <c r="U625" s="13"/>
      <c r="V625" s="13"/>
      <c r="W625" s="13"/>
      <c r="X625" s="13"/>
      <c r="Y625" s="10"/>
      <c r="Z625" s="9"/>
      <c r="AA625" s="9"/>
      <c r="AB625" s="9"/>
      <c r="AC625" s="9"/>
      <c r="AD625" s="9"/>
      <c r="AE625" s="9"/>
      <c r="AF625" s="9"/>
      <c r="AG625" s="9"/>
      <c r="AH625" s="9"/>
      <c r="AI625" s="9"/>
    </row>
    <row r="626" spans="1:35" ht="15.75" customHeight="1" x14ac:dyDescent="0.25">
      <c r="A626" s="10"/>
      <c r="B626" s="13"/>
      <c r="C626" s="13"/>
      <c r="D626" s="13"/>
      <c r="E626" s="13"/>
      <c r="F626" s="13"/>
      <c r="G626" s="13"/>
      <c r="H626" s="13"/>
      <c r="T626" s="13"/>
      <c r="U626" s="13"/>
      <c r="V626" s="13"/>
      <c r="W626" s="13"/>
      <c r="X626" s="13"/>
      <c r="Y626" s="10"/>
      <c r="Z626" s="9"/>
      <c r="AA626" s="9"/>
      <c r="AB626" s="9"/>
      <c r="AC626" s="9"/>
      <c r="AD626" s="9"/>
      <c r="AE626" s="9"/>
      <c r="AF626" s="9"/>
      <c r="AG626" s="9"/>
      <c r="AH626" s="9"/>
      <c r="AI626" s="9"/>
    </row>
    <row r="627" spans="1:35" ht="15.75" customHeight="1" x14ac:dyDescent="0.25">
      <c r="A627" s="10"/>
      <c r="B627" s="13"/>
      <c r="C627" s="13"/>
      <c r="D627" s="13"/>
      <c r="E627" s="13"/>
      <c r="F627" s="13"/>
      <c r="G627" s="13"/>
      <c r="H627" s="13"/>
      <c r="T627" s="13"/>
      <c r="U627" s="13"/>
      <c r="V627" s="13"/>
      <c r="W627" s="13"/>
      <c r="X627" s="13"/>
      <c r="Y627" s="10"/>
      <c r="Z627" s="9"/>
      <c r="AA627" s="9"/>
      <c r="AB627" s="9"/>
      <c r="AC627" s="9"/>
      <c r="AD627" s="9"/>
      <c r="AE627" s="9"/>
      <c r="AF627" s="9"/>
      <c r="AG627" s="9"/>
      <c r="AH627" s="9"/>
      <c r="AI627" s="9"/>
    </row>
    <row r="628" spans="1:35" ht="15.75" customHeight="1" x14ac:dyDescent="0.25">
      <c r="A628" s="10"/>
      <c r="B628" s="13"/>
      <c r="C628" s="13"/>
      <c r="D628" s="13"/>
      <c r="E628" s="13"/>
      <c r="F628" s="13"/>
      <c r="G628" s="13"/>
      <c r="H628" s="13"/>
      <c r="T628" s="13"/>
      <c r="U628" s="13"/>
      <c r="V628" s="13"/>
      <c r="W628" s="13"/>
      <c r="X628" s="13"/>
      <c r="Y628" s="10"/>
      <c r="Z628" s="9"/>
      <c r="AA628" s="9"/>
      <c r="AB628" s="9"/>
      <c r="AC628" s="9"/>
      <c r="AD628" s="9"/>
      <c r="AE628" s="9"/>
      <c r="AF628" s="9"/>
      <c r="AG628" s="9"/>
      <c r="AH628" s="9"/>
      <c r="AI628" s="9"/>
    </row>
    <row r="629" spans="1:35" ht="15.75" customHeight="1" x14ac:dyDescent="0.25">
      <c r="A629" s="10"/>
      <c r="B629" s="13"/>
      <c r="C629" s="13"/>
      <c r="D629" s="13"/>
      <c r="E629" s="13"/>
      <c r="F629" s="13"/>
      <c r="G629" s="13"/>
      <c r="H629" s="13"/>
      <c r="T629" s="13"/>
      <c r="U629" s="13"/>
      <c r="V629" s="13"/>
      <c r="W629" s="13"/>
      <c r="X629" s="13"/>
      <c r="Y629" s="10"/>
      <c r="Z629" s="9"/>
      <c r="AA629" s="9"/>
      <c r="AB629" s="9"/>
      <c r="AC629" s="9"/>
      <c r="AD629" s="9"/>
      <c r="AE629" s="9"/>
      <c r="AF629" s="9"/>
      <c r="AG629" s="9"/>
      <c r="AH629" s="9"/>
      <c r="AI629" s="9"/>
    </row>
    <row r="630" spans="1:35" ht="15.75" customHeight="1" x14ac:dyDescent="0.25">
      <c r="A630" s="10"/>
      <c r="B630" s="13"/>
      <c r="C630" s="13"/>
      <c r="D630" s="13"/>
      <c r="E630" s="13"/>
      <c r="F630" s="13"/>
      <c r="G630" s="13"/>
      <c r="H630" s="13"/>
      <c r="T630" s="13"/>
      <c r="U630" s="13"/>
      <c r="V630" s="13"/>
      <c r="W630" s="13"/>
      <c r="X630" s="13"/>
      <c r="Y630" s="10"/>
      <c r="Z630" s="9"/>
      <c r="AA630" s="9"/>
      <c r="AB630" s="9"/>
      <c r="AC630" s="9"/>
      <c r="AD630" s="9"/>
      <c r="AE630" s="9"/>
      <c r="AF630" s="9"/>
      <c r="AG630" s="9"/>
      <c r="AH630" s="9"/>
      <c r="AI630" s="9"/>
    </row>
    <row r="631" spans="1:35" ht="15.75" customHeight="1" x14ac:dyDescent="0.25">
      <c r="A631" s="10"/>
      <c r="B631" s="13"/>
      <c r="C631" s="13"/>
      <c r="D631" s="13"/>
      <c r="E631" s="13"/>
      <c r="F631" s="13"/>
      <c r="G631" s="13"/>
      <c r="H631" s="13"/>
      <c r="T631" s="13"/>
      <c r="U631" s="13"/>
      <c r="V631" s="13"/>
      <c r="W631" s="13"/>
      <c r="X631" s="13"/>
      <c r="Y631" s="10"/>
      <c r="Z631" s="9"/>
      <c r="AA631" s="9"/>
      <c r="AB631" s="9"/>
      <c r="AC631" s="9"/>
      <c r="AD631" s="9"/>
      <c r="AE631" s="9"/>
      <c r="AF631" s="9"/>
      <c r="AG631" s="9"/>
      <c r="AH631" s="9"/>
      <c r="AI631" s="9"/>
    </row>
    <row r="632" spans="1:35" ht="15.75" customHeight="1" x14ac:dyDescent="0.25">
      <c r="A632" s="10"/>
      <c r="B632" s="13"/>
      <c r="C632" s="13"/>
      <c r="D632" s="13"/>
      <c r="E632" s="13"/>
      <c r="F632" s="13"/>
      <c r="G632" s="13"/>
      <c r="H632" s="13"/>
      <c r="T632" s="13"/>
      <c r="U632" s="13"/>
      <c r="V632" s="13"/>
      <c r="W632" s="13"/>
      <c r="X632" s="13"/>
      <c r="Y632" s="10"/>
      <c r="Z632" s="9"/>
      <c r="AA632" s="9"/>
      <c r="AB632" s="9"/>
      <c r="AC632" s="9"/>
      <c r="AD632" s="9"/>
      <c r="AE632" s="9"/>
      <c r="AF632" s="9"/>
      <c r="AG632" s="9"/>
      <c r="AH632" s="9"/>
      <c r="AI632" s="9"/>
    </row>
    <row r="633" spans="1:35" ht="15.75" customHeight="1" x14ac:dyDescent="0.25">
      <c r="A633" s="10"/>
      <c r="B633" s="13"/>
      <c r="C633" s="13"/>
      <c r="D633" s="13"/>
      <c r="E633" s="13"/>
      <c r="F633" s="13"/>
      <c r="G633" s="13"/>
      <c r="H633" s="13"/>
      <c r="T633" s="13"/>
      <c r="U633" s="13"/>
      <c r="V633" s="13"/>
      <c r="W633" s="13"/>
      <c r="X633" s="13"/>
      <c r="Y633" s="10"/>
      <c r="Z633" s="9"/>
      <c r="AA633" s="9"/>
      <c r="AB633" s="9"/>
      <c r="AC633" s="9"/>
      <c r="AD633" s="9"/>
      <c r="AE633" s="9"/>
      <c r="AF633" s="9"/>
      <c r="AG633" s="9"/>
      <c r="AH633" s="9"/>
      <c r="AI633" s="9"/>
    </row>
    <row r="634" spans="1:35" ht="15.75" customHeight="1" x14ac:dyDescent="0.25">
      <c r="A634" s="10"/>
      <c r="B634" s="13"/>
      <c r="C634" s="13"/>
      <c r="D634" s="13"/>
      <c r="E634" s="13"/>
      <c r="F634" s="13"/>
      <c r="G634" s="13"/>
      <c r="H634" s="13"/>
      <c r="T634" s="13"/>
      <c r="U634" s="13"/>
      <c r="V634" s="13"/>
      <c r="W634" s="13"/>
      <c r="X634" s="13"/>
      <c r="Y634" s="10"/>
      <c r="Z634" s="9"/>
      <c r="AA634" s="9"/>
      <c r="AB634" s="9"/>
      <c r="AC634" s="9"/>
      <c r="AD634" s="9"/>
      <c r="AE634" s="9"/>
      <c r="AF634" s="9"/>
      <c r="AG634" s="9"/>
      <c r="AH634" s="9"/>
      <c r="AI634" s="9"/>
    </row>
    <row r="635" spans="1:35" ht="15.75" customHeight="1" x14ac:dyDescent="0.25">
      <c r="A635" s="10"/>
      <c r="B635" s="13"/>
      <c r="C635" s="13"/>
      <c r="D635" s="13"/>
      <c r="E635" s="13"/>
      <c r="F635" s="13"/>
      <c r="G635" s="13"/>
      <c r="H635" s="13"/>
      <c r="T635" s="13"/>
      <c r="U635" s="13"/>
      <c r="V635" s="13"/>
      <c r="W635" s="13"/>
      <c r="X635" s="13"/>
      <c r="Y635" s="10"/>
      <c r="Z635" s="9"/>
      <c r="AA635" s="9"/>
      <c r="AB635" s="9"/>
      <c r="AC635" s="9"/>
      <c r="AD635" s="9"/>
      <c r="AE635" s="9"/>
      <c r="AF635" s="9"/>
      <c r="AG635" s="9"/>
      <c r="AH635" s="9"/>
      <c r="AI635" s="9"/>
    </row>
    <row r="636" spans="1:35" ht="15.75" customHeight="1" x14ac:dyDescent="0.25">
      <c r="A636" s="10"/>
      <c r="B636" s="13"/>
      <c r="C636" s="13"/>
      <c r="D636" s="13"/>
      <c r="E636" s="13"/>
      <c r="F636" s="13"/>
      <c r="G636" s="13"/>
      <c r="H636" s="13"/>
      <c r="T636" s="13"/>
      <c r="U636" s="13"/>
      <c r="V636" s="13"/>
      <c r="W636" s="13"/>
      <c r="X636" s="13"/>
      <c r="Y636" s="10"/>
      <c r="Z636" s="9"/>
      <c r="AA636" s="9"/>
      <c r="AB636" s="9"/>
      <c r="AC636" s="9"/>
      <c r="AD636" s="9"/>
      <c r="AE636" s="9"/>
      <c r="AF636" s="9"/>
      <c r="AG636" s="9"/>
      <c r="AH636" s="9"/>
      <c r="AI636" s="9"/>
    </row>
    <row r="637" spans="1:35" ht="15.75" customHeight="1" x14ac:dyDescent="0.25">
      <c r="A637" s="10"/>
      <c r="B637" s="13"/>
      <c r="C637" s="13"/>
      <c r="D637" s="13"/>
      <c r="E637" s="13"/>
      <c r="F637" s="13"/>
      <c r="G637" s="13"/>
      <c r="H637" s="13"/>
      <c r="T637" s="13"/>
      <c r="U637" s="13"/>
      <c r="V637" s="13"/>
      <c r="W637" s="13"/>
      <c r="X637" s="13"/>
      <c r="Y637" s="10"/>
      <c r="Z637" s="9"/>
      <c r="AA637" s="9"/>
      <c r="AB637" s="9"/>
      <c r="AC637" s="9"/>
      <c r="AD637" s="9"/>
      <c r="AE637" s="9"/>
      <c r="AF637" s="9"/>
      <c r="AG637" s="9"/>
      <c r="AH637" s="9"/>
      <c r="AI637" s="9"/>
    </row>
    <row r="638" spans="1:35" ht="15.75" customHeight="1" x14ac:dyDescent="0.25">
      <c r="A638" s="10"/>
      <c r="B638" s="13"/>
      <c r="C638" s="13"/>
      <c r="D638" s="13"/>
      <c r="E638" s="13"/>
      <c r="F638" s="13"/>
      <c r="G638" s="13"/>
      <c r="H638" s="13"/>
      <c r="T638" s="13"/>
      <c r="U638" s="13"/>
      <c r="V638" s="13"/>
      <c r="W638" s="13"/>
      <c r="X638" s="13"/>
      <c r="Y638" s="10"/>
      <c r="Z638" s="9"/>
      <c r="AA638" s="9"/>
      <c r="AB638" s="9"/>
      <c r="AC638" s="9"/>
      <c r="AD638" s="9"/>
      <c r="AE638" s="9"/>
      <c r="AF638" s="9"/>
      <c r="AG638" s="9"/>
      <c r="AH638" s="9"/>
      <c r="AI638" s="9"/>
    </row>
    <row r="639" spans="1:35" ht="15.75" customHeight="1" x14ac:dyDescent="0.25">
      <c r="A639" s="10"/>
      <c r="B639" s="13"/>
      <c r="C639" s="13"/>
      <c r="D639" s="13"/>
      <c r="E639" s="13"/>
      <c r="F639" s="13"/>
      <c r="G639" s="13"/>
      <c r="H639" s="13"/>
      <c r="T639" s="13"/>
      <c r="U639" s="13"/>
      <c r="V639" s="13"/>
      <c r="W639" s="13"/>
      <c r="X639" s="13"/>
      <c r="Y639" s="10"/>
      <c r="Z639" s="9"/>
      <c r="AA639" s="9"/>
      <c r="AB639" s="9"/>
      <c r="AC639" s="9"/>
      <c r="AD639" s="9"/>
      <c r="AE639" s="9"/>
      <c r="AF639" s="9"/>
      <c r="AG639" s="9"/>
      <c r="AH639" s="9"/>
      <c r="AI639" s="9"/>
    </row>
    <row r="640" spans="1:35" ht="15.75" customHeight="1" x14ac:dyDescent="0.25">
      <c r="A640" s="10"/>
      <c r="B640" s="13"/>
      <c r="C640" s="13"/>
      <c r="D640" s="13"/>
      <c r="E640" s="13"/>
      <c r="F640" s="13"/>
      <c r="G640" s="13"/>
      <c r="H640" s="13"/>
      <c r="T640" s="13"/>
      <c r="U640" s="13"/>
      <c r="V640" s="13"/>
      <c r="W640" s="13"/>
      <c r="X640" s="13"/>
      <c r="Y640" s="10"/>
      <c r="Z640" s="9"/>
      <c r="AA640" s="9"/>
      <c r="AB640" s="9"/>
      <c r="AC640" s="9"/>
      <c r="AD640" s="9"/>
      <c r="AE640" s="9"/>
      <c r="AF640" s="9"/>
      <c r="AG640" s="9"/>
      <c r="AH640" s="9"/>
      <c r="AI640" s="9"/>
    </row>
    <row r="641" spans="1:35" ht="15.75" customHeight="1" x14ac:dyDescent="0.25">
      <c r="A641" s="10"/>
      <c r="B641" s="13"/>
      <c r="C641" s="13"/>
      <c r="D641" s="13"/>
      <c r="E641" s="13"/>
      <c r="F641" s="13"/>
      <c r="G641" s="13"/>
      <c r="H641" s="13"/>
      <c r="T641" s="13"/>
      <c r="U641" s="13"/>
      <c r="V641" s="13"/>
      <c r="W641" s="13"/>
      <c r="X641" s="13"/>
      <c r="Y641" s="10"/>
      <c r="Z641" s="9"/>
      <c r="AA641" s="9"/>
      <c r="AB641" s="9"/>
      <c r="AC641" s="9"/>
      <c r="AD641" s="9"/>
      <c r="AE641" s="9"/>
      <c r="AF641" s="9"/>
      <c r="AG641" s="9"/>
      <c r="AH641" s="9"/>
      <c r="AI641" s="9"/>
    </row>
    <row r="642" spans="1:35" ht="15.75" customHeight="1" x14ac:dyDescent="0.25">
      <c r="A642" s="10"/>
      <c r="B642" s="13"/>
      <c r="C642" s="13"/>
      <c r="D642" s="13"/>
      <c r="E642" s="13"/>
      <c r="F642" s="13"/>
      <c r="G642" s="13"/>
      <c r="H642" s="13"/>
      <c r="T642" s="13"/>
      <c r="U642" s="13"/>
      <c r="V642" s="13"/>
      <c r="W642" s="13"/>
      <c r="X642" s="13"/>
      <c r="Y642" s="10"/>
      <c r="Z642" s="9"/>
      <c r="AA642" s="9"/>
      <c r="AB642" s="9"/>
      <c r="AC642" s="9"/>
      <c r="AD642" s="9"/>
      <c r="AE642" s="9"/>
      <c r="AF642" s="9"/>
      <c r="AG642" s="9"/>
      <c r="AH642" s="9"/>
      <c r="AI642" s="9"/>
    </row>
    <row r="643" spans="1:35" ht="15.75" customHeight="1" x14ac:dyDescent="0.25">
      <c r="A643" s="10"/>
      <c r="B643" s="13"/>
      <c r="C643" s="13"/>
      <c r="D643" s="13"/>
      <c r="E643" s="13"/>
      <c r="F643" s="13"/>
      <c r="G643" s="13"/>
      <c r="H643" s="13"/>
      <c r="T643" s="13"/>
      <c r="U643" s="13"/>
      <c r="V643" s="13"/>
      <c r="W643" s="13"/>
      <c r="X643" s="13"/>
      <c r="Y643" s="10"/>
      <c r="Z643" s="9"/>
      <c r="AA643" s="9"/>
      <c r="AB643" s="9"/>
      <c r="AC643" s="9"/>
      <c r="AD643" s="9"/>
      <c r="AE643" s="9"/>
      <c r="AF643" s="9"/>
      <c r="AG643" s="9"/>
      <c r="AH643" s="9"/>
      <c r="AI643" s="9"/>
    </row>
    <row r="644" spans="1:35" ht="15.75" customHeight="1" x14ac:dyDescent="0.25">
      <c r="A644" s="10"/>
      <c r="B644" s="13"/>
      <c r="C644" s="13"/>
      <c r="D644" s="13"/>
      <c r="E644" s="13"/>
      <c r="F644" s="13"/>
      <c r="G644" s="13"/>
      <c r="H644" s="13"/>
      <c r="T644" s="13"/>
      <c r="U644" s="13"/>
      <c r="V644" s="13"/>
      <c r="W644" s="13"/>
      <c r="X644" s="13"/>
      <c r="Y644" s="10"/>
      <c r="Z644" s="9"/>
      <c r="AA644" s="9"/>
      <c r="AB644" s="9"/>
      <c r="AC644" s="9"/>
      <c r="AD644" s="9"/>
      <c r="AE644" s="9"/>
      <c r="AF644" s="9"/>
      <c r="AG644" s="9"/>
      <c r="AH644" s="9"/>
      <c r="AI644" s="9"/>
    </row>
    <row r="645" spans="1:35" ht="15.75" customHeight="1" x14ac:dyDescent="0.25">
      <c r="A645" s="10"/>
      <c r="B645" s="13"/>
      <c r="C645" s="13"/>
      <c r="D645" s="13"/>
      <c r="E645" s="13"/>
      <c r="F645" s="13"/>
      <c r="G645" s="13"/>
      <c r="H645" s="13"/>
      <c r="T645" s="13"/>
      <c r="U645" s="13"/>
      <c r="V645" s="13"/>
      <c r="W645" s="13"/>
      <c r="X645" s="13"/>
      <c r="Y645" s="10"/>
      <c r="Z645" s="9"/>
      <c r="AA645" s="9"/>
      <c r="AB645" s="9"/>
      <c r="AC645" s="9"/>
      <c r="AD645" s="9"/>
      <c r="AE645" s="9"/>
      <c r="AF645" s="9"/>
      <c r="AG645" s="9"/>
      <c r="AH645" s="9"/>
      <c r="AI645" s="9"/>
    </row>
    <row r="646" spans="1:35" ht="15.75" customHeight="1" x14ac:dyDescent="0.25">
      <c r="A646" s="10"/>
      <c r="B646" s="13"/>
      <c r="C646" s="13"/>
      <c r="D646" s="13"/>
      <c r="E646" s="13"/>
      <c r="F646" s="13"/>
      <c r="G646" s="13"/>
      <c r="H646" s="13"/>
      <c r="T646" s="13"/>
      <c r="U646" s="13"/>
      <c r="V646" s="13"/>
      <c r="W646" s="13"/>
      <c r="X646" s="13"/>
      <c r="Y646" s="10"/>
      <c r="Z646" s="9"/>
      <c r="AA646" s="9"/>
      <c r="AB646" s="9"/>
      <c r="AC646" s="9"/>
      <c r="AD646" s="9"/>
      <c r="AE646" s="9"/>
      <c r="AF646" s="9"/>
      <c r="AG646" s="9"/>
      <c r="AH646" s="9"/>
      <c r="AI646" s="9"/>
    </row>
    <row r="647" spans="1:35" ht="15.75" customHeight="1" x14ac:dyDescent="0.25">
      <c r="A647" s="10"/>
      <c r="B647" s="13"/>
      <c r="C647" s="13"/>
      <c r="D647" s="13"/>
      <c r="E647" s="13"/>
      <c r="F647" s="13"/>
      <c r="G647" s="13"/>
      <c r="H647" s="13"/>
      <c r="T647" s="13"/>
      <c r="U647" s="13"/>
      <c r="V647" s="13"/>
      <c r="W647" s="13"/>
      <c r="X647" s="13"/>
      <c r="Y647" s="10"/>
      <c r="Z647" s="9"/>
      <c r="AA647" s="9"/>
      <c r="AB647" s="9"/>
      <c r="AC647" s="9"/>
      <c r="AD647" s="9"/>
      <c r="AE647" s="9"/>
      <c r="AF647" s="9"/>
      <c r="AG647" s="9"/>
      <c r="AH647" s="9"/>
      <c r="AI647" s="9"/>
    </row>
    <row r="648" spans="1:35" ht="15.75" customHeight="1" x14ac:dyDescent="0.25">
      <c r="A648" s="10"/>
      <c r="B648" s="13"/>
      <c r="C648" s="13"/>
      <c r="D648" s="13"/>
      <c r="E648" s="13"/>
      <c r="F648" s="13"/>
      <c r="G648" s="13"/>
      <c r="H648" s="13"/>
      <c r="T648" s="13"/>
      <c r="U648" s="13"/>
      <c r="V648" s="13"/>
      <c r="W648" s="13"/>
      <c r="X648" s="13"/>
      <c r="Y648" s="10"/>
      <c r="Z648" s="9"/>
      <c r="AA648" s="9"/>
      <c r="AB648" s="9"/>
      <c r="AC648" s="9"/>
      <c r="AD648" s="9"/>
      <c r="AE648" s="9"/>
      <c r="AF648" s="9"/>
      <c r="AG648" s="9"/>
      <c r="AH648" s="9"/>
      <c r="AI648" s="9"/>
    </row>
    <row r="649" spans="1:35" ht="15.75" customHeight="1" x14ac:dyDescent="0.25">
      <c r="A649" s="10"/>
      <c r="B649" s="13"/>
      <c r="C649" s="13"/>
      <c r="D649" s="13"/>
      <c r="E649" s="13"/>
      <c r="F649" s="13"/>
      <c r="G649" s="13"/>
      <c r="H649" s="13"/>
      <c r="T649" s="13"/>
      <c r="U649" s="13"/>
      <c r="V649" s="13"/>
      <c r="W649" s="13"/>
      <c r="X649" s="13"/>
      <c r="Y649" s="10"/>
      <c r="Z649" s="9"/>
      <c r="AA649" s="9"/>
      <c r="AB649" s="9"/>
      <c r="AC649" s="9"/>
      <c r="AD649" s="9"/>
      <c r="AE649" s="9"/>
      <c r="AF649" s="9"/>
      <c r="AG649" s="9"/>
      <c r="AH649" s="9"/>
      <c r="AI649" s="9"/>
    </row>
    <row r="650" spans="1:35" ht="15.75" customHeight="1" x14ac:dyDescent="0.25">
      <c r="A650" s="10"/>
      <c r="B650" s="13"/>
      <c r="C650" s="13"/>
      <c r="D650" s="13"/>
      <c r="E650" s="13"/>
      <c r="F650" s="13"/>
      <c r="G650" s="13"/>
      <c r="H650" s="13"/>
      <c r="T650" s="13"/>
      <c r="U650" s="13"/>
      <c r="V650" s="13"/>
      <c r="W650" s="13"/>
      <c r="X650" s="13"/>
      <c r="Y650" s="10"/>
      <c r="Z650" s="9"/>
      <c r="AA650" s="9"/>
      <c r="AB650" s="9"/>
      <c r="AC650" s="9"/>
      <c r="AD650" s="9"/>
      <c r="AE650" s="9"/>
      <c r="AF650" s="9"/>
      <c r="AG650" s="9"/>
      <c r="AH650" s="9"/>
      <c r="AI650" s="9"/>
    </row>
    <row r="651" spans="1:35" ht="15.75" customHeight="1" x14ac:dyDescent="0.25">
      <c r="A651" s="10"/>
      <c r="B651" s="13"/>
      <c r="C651" s="13"/>
      <c r="D651" s="13"/>
      <c r="E651" s="13"/>
      <c r="F651" s="13"/>
      <c r="G651" s="13"/>
      <c r="H651" s="13"/>
      <c r="T651" s="13"/>
      <c r="U651" s="13"/>
      <c r="V651" s="13"/>
      <c r="W651" s="13"/>
      <c r="X651" s="13"/>
      <c r="Y651" s="10"/>
      <c r="Z651" s="9"/>
      <c r="AA651" s="9"/>
      <c r="AB651" s="9"/>
      <c r="AC651" s="9"/>
      <c r="AD651" s="9"/>
      <c r="AE651" s="9"/>
      <c r="AF651" s="9"/>
      <c r="AG651" s="9"/>
      <c r="AH651" s="9"/>
      <c r="AI651" s="9"/>
    </row>
    <row r="652" spans="1:35" ht="15.75" customHeight="1" x14ac:dyDescent="0.25">
      <c r="A652" s="10"/>
      <c r="B652" s="13"/>
      <c r="C652" s="13"/>
      <c r="D652" s="13"/>
      <c r="E652" s="13"/>
      <c r="F652" s="13"/>
      <c r="G652" s="13"/>
      <c r="H652" s="13"/>
      <c r="T652" s="13"/>
      <c r="U652" s="13"/>
      <c r="V652" s="13"/>
      <c r="W652" s="13"/>
      <c r="X652" s="13"/>
      <c r="Y652" s="10"/>
      <c r="Z652" s="9"/>
      <c r="AA652" s="9"/>
      <c r="AB652" s="9"/>
      <c r="AC652" s="9"/>
      <c r="AD652" s="9"/>
      <c r="AE652" s="9"/>
      <c r="AF652" s="9"/>
      <c r="AG652" s="9"/>
      <c r="AH652" s="9"/>
      <c r="AI652" s="9"/>
    </row>
    <row r="653" spans="1:35" ht="15.75" customHeight="1" x14ac:dyDescent="0.25">
      <c r="A653" s="10"/>
      <c r="B653" s="13"/>
      <c r="C653" s="13"/>
      <c r="D653" s="13"/>
      <c r="E653" s="13"/>
      <c r="F653" s="13"/>
      <c r="G653" s="13"/>
      <c r="H653" s="13"/>
      <c r="T653" s="13"/>
      <c r="U653" s="13"/>
      <c r="V653" s="13"/>
      <c r="W653" s="13"/>
      <c r="X653" s="13"/>
      <c r="Y653" s="10"/>
      <c r="Z653" s="9"/>
      <c r="AA653" s="9"/>
      <c r="AB653" s="9"/>
      <c r="AC653" s="9"/>
      <c r="AD653" s="9"/>
      <c r="AE653" s="9"/>
      <c r="AF653" s="9"/>
      <c r="AG653" s="9"/>
      <c r="AH653" s="9"/>
      <c r="AI653" s="9"/>
    </row>
    <row r="654" spans="1:35" ht="15.75" customHeight="1" x14ac:dyDescent="0.25">
      <c r="A654" s="10"/>
      <c r="B654" s="13"/>
      <c r="C654" s="13"/>
      <c r="D654" s="13"/>
      <c r="E654" s="13"/>
      <c r="F654" s="13"/>
      <c r="G654" s="13"/>
      <c r="H654" s="13"/>
      <c r="T654" s="13"/>
      <c r="U654" s="13"/>
      <c r="V654" s="13"/>
      <c r="W654" s="13"/>
      <c r="X654" s="13"/>
      <c r="Y654" s="10"/>
      <c r="Z654" s="9"/>
      <c r="AA654" s="9"/>
      <c r="AB654" s="9"/>
      <c r="AC654" s="9"/>
      <c r="AD654" s="9"/>
      <c r="AE654" s="9"/>
      <c r="AF654" s="9"/>
      <c r="AG654" s="9"/>
      <c r="AH654" s="9"/>
      <c r="AI654" s="9"/>
    </row>
    <row r="655" spans="1:35" ht="15.75" customHeight="1" x14ac:dyDescent="0.25">
      <c r="A655" s="10"/>
      <c r="B655" s="13"/>
      <c r="C655" s="13"/>
      <c r="D655" s="13"/>
      <c r="E655" s="13"/>
      <c r="F655" s="13"/>
      <c r="G655" s="13"/>
      <c r="H655" s="13"/>
      <c r="T655" s="13"/>
      <c r="U655" s="13"/>
      <c r="V655" s="13"/>
      <c r="W655" s="13"/>
      <c r="X655" s="13"/>
      <c r="Y655" s="10"/>
      <c r="Z655" s="9"/>
      <c r="AA655" s="9"/>
      <c r="AB655" s="9"/>
      <c r="AC655" s="9"/>
      <c r="AD655" s="9"/>
      <c r="AE655" s="9"/>
      <c r="AF655" s="9"/>
      <c r="AG655" s="9"/>
      <c r="AH655" s="9"/>
      <c r="AI655" s="9"/>
    </row>
    <row r="656" spans="1:35" ht="15.75" customHeight="1" x14ac:dyDescent="0.25">
      <c r="A656" s="10"/>
      <c r="B656" s="13"/>
      <c r="C656" s="13"/>
      <c r="D656" s="13"/>
      <c r="E656" s="13"/>
      <c r="F656" s="13"/>
      <c r="G656" s="13"/>
      <c r="H656" s="13"/>
      <c r="T656" s="13"/>
      <c r="U656" s="13"/>
      <c r="V656" s="13"/>
      <c r="W656" s="13"/>
      <c r="X656" s="13"/>
      <c r="Y656" s="10"/>
      <c r="Z656" s="9"/>
      <c r="AA656" s="9"/>
      <c r="AB656" s="9"/>
      <c r="AC656" s="9"/>
      <c r="AD656" s="9"/>
      <c r="AE656" s="9"/>
      <c r="AF656" s="9"/>
      <c r="AG656" s="9"/>
      <c r="AH656" s="9"/>
      <c r="AI656" s="9"/>
    </row>
    <row r="657" spans="1:35" ht="15.75" customHeight="1" x14ac:dyDescent="0.25">
      <c r="A657" s="10"/>
      <c r="B657" s="13"/>
      <c r="C657" s="13"/>
      <c r="D657" s="13"/>
      <c r="E657" s="13"/>
      <c r="F657" s="13"/>
      <c r="G657" s="13"/>
      <c r="H657" s="13"/>
      <c r="T657" s="13"/>
      <c r="U657" s="13"/>
      <c r="V657" s="13"/>
      <c r="W657" s="13"/>
      <c r="X657" s="13"/>
      <c r="Y657" s="10"/>
      <c r="Z657" s="9"/>
      <c r="AA657" s="9"/>
      <c r="AB657" s="9"/>
      <c r="AC657" s="9"/>
      <c r="AD657" s="9"/>
      <c r="AE657" s="9"/>
      <c r="AF657" s="9"/>
      <c r="AG657" s="9"/>
      <c r="AH657" s="9"/>
      <c r="AI657" s="9"/>
    </row>
    <row r="658" spans="1:35" ht="15.75" customHeight="1" x14ac:dyDescent="0.25">
      <c r="A658" s="10"/>
      <c r="B658" s="13"/>
      <c r="C658" s="13"/>
      <c r="D658" s="13"/>
      <c r="E658" s="13"/>
      <c r="F658" s="13"/>
      <c r="G658" s="13"/>
      <c r="H658" s="13"/>
      <c r="T658" s="13"/>
      <c r="U658" s="13"/>
      <c r="V658" s="13"/>
      <c r="W658" s="13"/>
      <c r="X658" s="13"/>
      <c r="Y658" s="10"/>
      <c r="Z658" s="9"/>
      <c r="AA658" s="9"/>
      <c r="AB658" s="9"/>
      <c r="AC658" s="9"/>
      <c r="AD658" s="9"/>
      <c r="AE658" s="9"/>
      <c r="AF658" s="9"/>
      <c r="AG658" s="9"/>
      <c r="AH658" s="9"/>
      <c r="AI658" s="9"/>
    </row>
    <row r="659" spans="1:35" ht="15.75" customHeight="1" x14ac:dyDescent="0.25">
      <c r="A659" s="10"/>
      <c r="B659" s="13"/>
      <c r="C659" s="13"/>
      <c r="D659" s="13"/>
      <c r="E659" s="13"/>
      <c r="F659" s="13"/>
      <c r="G659" s="13"/>
      <c r="H659" s="13"/>
      <c r="T659" s="13"/>
      <c r="U659" s="13"/>
      <c r="V659" s="13"/>
      <c r="W659" s="13"/>
      <c r="X659" s="13"/>
      <c r="Y659" s="10"/>
      <c r="Z659" s="9"/>
      <c r="AA659" s="9"/>
      <c r="AB659" s="9"/>
      <c r="AC659" s="9"/>
      <c r="AD659" s="9"/>
      <c r="AE659" s="9"/>
      <c r="AF659" s="9"/>
      <c r="AG659" s="9"/>
      <c r="AH659" s="9"/>
      <c r="AI659" s="9"/>
    </row>
    <row r="660" spans="1:35" ht="15.75" customHeight="1" x14ac:dyDescent="0.25">
      <c r="A660" s="10"/>
      <c r="B660" s="13"/>
      <c r="C660" s="13"/>
      <c r="D660" s="13"/>
      <c r="E660" s="13"/>
      <c r="F660" s="13"/>
      <c r="G660" s="13"/>
      <c r="H660" s="13"/>
      <c r="T660" s="13"/>
      <c r="U660" s="13"/>
      <c r="V660" s="13"/>
      <c r="W660" s="13"/>
      <c r="X660" s="13"/>
      <c r="Y660" s="10"/>
      <c r="Z660" s="9"/>
      <c r="AA660" s="9"/>
      <c r="AB660" s="9"/>
      <c r="AC660" s="9"/>
      <c r="AD660" s="9"/>
      <c r="AE660" s="9"/>
      <c r="AF660" s="9"/>
      <c r="AG660" s="9"/>
      <c r="AH660" s="9"/>
      <c r="AI660" s="9"/>
    </row>
    <row r="661" spans="1:35" ht="15.75" customHeight="1" x14ac:dyDescent="0.25">
      <c r="A661" s="10"/>
      <c r="B661" s="13"/>
      <c r="C661" s="13"/>
      <c r="D661" s="13"/>
      <c r="E661" s="13"/>
      <c r="F661" s="13"/>
      <c r="G661" s="13"/>
      <c r="H661" s="13"/>
      <c r="T661" s="13"/>
      <c r="U661" s="13"/>
      <c r="V661" s="13"/>
      <c r="W661" s="13"/>
      <c r="X661" s="13"/>
      <c r="Y661" s="10"/>
      <c r="Z661" s="9"/>
      <c r="AA661" s="9"/>
      <c r="AB661" s="9"/>
      <c r="AC661" s="9"/>
      <c r="AD661" s="9"/>
      <c r="AE661" s="9"/>
      <c r="AF661" s="9"/>
      <c r="AG661" s="9"/>
      <c r="AH661" s="9"/>
      <c r="AI661" s="9"/>
    </row>
    <row r="662" spans="1:35" ht="15.75" customHeight="1" x14ac:dyDescent="0.25">
      <c r="A662" s="10"/>
      <c r="B662" s="13"/>
      <c r="C662" s="13"/>
      <c r="D662" s="13"/>
      <c r="E662" s="13"/>
      <c r="F662" s="13"/>
      <c r="G662" s="13"/>
      <c r="H662" s="13"/>
      <c r="T662" s="13"/>
      <c r="U662" s="13"/>
      <c r="V662" s="13"/>
      <c r="W662" s="13"/>
      <c r="X662" s="13"/>
      <c r="Y662" s="10"/>
      <c r="Z662" s="9"/>
      <c r="AA662" s="9"/>
      <c r="AB662" s="9"/>
      <c r="AC662" s="9"/>
      <c r="AD662" s="9"/>
      <c r="AE662" s="9"/>
      <c r="AF662" s="9"/>
      <c r="AG662" s="9"/>
      <c r="AH662" s="9"/>
      <c r="AI662" s="9"/>
    </row>
    <row r="663" spans="1:35" ht="15.75" customHeight="1" x14ac:dyDescent="0.25">
      <c r="A663" s="10"/>
      <c r="B663" s="13"/>
      <c r="C663" s="13"/>
      <c r="D663" s="13"/>
      <c r="E663" s="13"/>
      <c r="F663" s="13"/>
      <c r="G663" s="13"/>
      <c r="H663" s="13"/>
      <c r="T663" s="13"/>
      <c r="U663" s="13"/>
      <c r="V663" s="13"/>
      <c r="W663" s="13"/>
      <c r="X663" s="13"/>
      <c r="Y663" s="10"/>
      <c r="Z663" s="9"/>
      <c r="AA663" s="9"/>
      <c r="AB663" s="9"/>
      <c r="AC663" s="9"/>
      <c r="AD663" s="9"/>
      <c r="AE663" s="9"/>
      <c r="AF663" s="9"/>
      <c r="AG663" s="9"/>
      <c r="AH663" s="9"/>
      <c r="AI663" s="9"/>
    </row>
    <row r="664" spans="1:35" ht="15.75" customHeight="1" x14ac:dyDescent="0.25">
      <c r="A664" s="10"/>
      <c r="B664" s="13"/>
      <c r="C664" s="13"/>
      <c r="D664" s="13"/>
      <c r="E664" s="13"/>
      <c r="F664" s="13"/>
      <c r="G664" s="13"/>
      <c r="H664" s="13"/>
      <c r="T664" s="13"/>
      <c r="U664" s="13"/>
      <c r="V664" s="13"/>
      <c r="W664" s="13"/>
      <c r="X664" s="13"/>
      <c r="Y664" s="10"/>
      <c r="Z664" s="9"/>
      <c r="AA664" s="9"/>
      <c r="AB664" s="9"/>
      <c r="AC664" s="9"/>
      <c r="AD664" s="9"/>
      <c r="AE664" s="9"/>
      <c r="AF664" s="9"/>
      <c r="AG664" s="9"/>
      <c r="AH664" s="9"/>
      <c r="AI664" s="9"/>
    </row>
    <row r="665" spans="1:35" ht="15.75" customHeight="1" x14ac:dyDescent="0.25">
      <c r="A665" s="10"/>
      <c r="B665" s="13"/>
      <c r="C665" s="13"/>
      <c r="D665" s="13"/>
      <c r="E665" s="13"/>
      <c r="F665" s="13"/>
      <c r="G665" s="13"/>
      <c r="H665" s="13"/>
      <c r="T665" s="13"/>
      <c r="U665" s="13"/>
      <c r="V665" s="13"/>
      <c r="W665" s="13"/>
      <c r="X665" s="13"/>
      <c r="Y665" s="10"/>
      <c r="Z665" s="9"/>
      <c r="AA665" s="9"/>
      <c r="AB665" s="9"/>
      <c r="AC665" s="9"/>
      <c r="AD665" s="9"/>
      <c r="AE665" s="9"/>
      <c r="AF665" s="9"/>
      <c r="AG665" s="9"/>
      <c r="AH665" s="9"/>
      <c r="AI665" s="9"/>
    </row>
    <row r="666" spans="1:35" ht="15.75" customHeight="1" x14ac:dyDescent="0.25">
      <c r="A666" s="10"/>
      <c r="B666" s="13"/>
      <c r="C666" s="13"/>
      <c r="D666" s="13"/>
      <c r="E666" s="13"/>
      <c r="F666" s="13"/>
      <c r="G666" s="13"/>
      <c r="H666" s="13"/>
      <c r="T666" s="13"/>
      <c r="U666" s="13"/>
      <c r="V666" s="13"/>
      <c r="W666" s="13"/>
      <c r="X666" s="13"/>
      <c r="Y666" s="10"/>
      <c r="Z666" s="9"/>
      <c r="AA666" s="9"/>
      <c r="AB666" s="9"/>
      <c r="AC666" s="9"/>
      <c r="AD666" s="9"/>
      <c r="AE666" s="9"/>
      <c r="AF666" s="9"/>
      <c r="AG666" s="9"/>
      <c r="AH666" s="9"/>
      <c r="AI666" s="9"/>
    </row>
    <row r="667" spans="1:35" ht="15.75" customHeight="1" x14ac:dyDescent="0.25">
      <c r="A667" s="10"/>
      <c r="B667" s="13"/>
      <c r="C667" s="13"/>
      <c r="D667" s="13"/>
      <c r="E667" s="13"/>
      <c r="F667" s="13"/>
      <c r="G667" s="13"/>
      <c r="H667" s="13"/>
      <c r="T667" s="13"/>
      <c r="U667" s="13"/>
      <c r="V667" s="13"/>
      <c r="W667" s="13"/>
      <c r="X667" s="13"/>
      <c r="Y667" s="10"/>
      <c r="Z667" s="9"/>
      <c r="AA667" s="9"/>
      <c r="AB667" s="9"/>
      <c r="AC667" s="9"/>
      <c r="AD667" s="9"/>
      <c r="AE667" s="9"/>
      <c r="AF667" s="9"/>
      <c r="AG667" s="9"/>
      <c r="AH667" s="9"/>
      <c r="AI667" s="9"/>
    </row>
    <row r="668" spans="1:35" ht="15.75" customHeight="1" x14ac:dyDescent="0.25">
      <c r="A668" s="10"/>
      <c r="B668" s="13"/>
      <c r="C668" s="13"/>
      <c r="D668" s="13"/>
      <c r="E668" s="13"/>
      <c r="F668" s="13"/>
      <c r="G668" s="13"/>
      <c r="H668" s="13"/>
      <c r="T668" s="13"/>
      <c r="U668" s="13"/>
      <c r="V668" s="13"/>
      <c r="W668" s="13"/>
      <c r="X668" s="13"/>
      <c r="Y668" s="10"/>
      <c r="Z668" s="9"/>
      <c r="AA668" s="9"/>
      <c r="AB668" s="9"/>
      <c r="AC668" s="9"/>
      <c r="AD668" s="9"/>
      <c r="AE668" s="9"/>
      <c r="AF668" s="9"/>
      <c r="AG668" s="9"/>
      <c r="AH668" s="9"/>
      <c r="AI668" s="9"/>
    </row>
    <row r="669" spans="1:35" ht="15.75" customHeight="1" x14ac:dyDescent="0.25">
      <c r="A669" s="10"/>
      <c r="B669" s="13"/>
      <c r="C669" s="13"/>
      <c r="D669" s="13"/>
      <c r="E669" s="13"/>
      <c r="F669" s="13"/>
      <c r="G669" s="13"/>
      <c r="H669" s="13"/>
      <c r="T669" s="13"/>
      <c r="U669" s="13"/>
      <c r="V669" s="13"/>
      <c r="W669" s="13"/>
      <c r="X669" s="13"/>
      <c r="Y669" s="10"/>
      <c r="Z669" s="9"/>
      <c r="AA669" s="9"/>
      <c r="AB669" s="9"/>
      <c r="AC669" s="9"/>
      <c r="AD669" s="9"/>
      <c r="AE669" s="9"/>
      <c r="AF669" s="9"/>
      <c r="AG669" s="9"/>
      <c r="AH669" s="9"/>
      <c r="AI669" s="9"/>
    </row>
    <row r="670" spans="1:35" ht="15.75" customHeight="1" x14ac:dyDescent="0.25">
      <c r="A670" s="10"/>
      <c r="B670" s="13"/>
      <c r="C670" s="13"/>
      <c r="D670" s="13"/>
      <c r="E670" s="13"/>
      <c r="F670" s="13"/>
      <c r="G670" s="13"/>
      <c r="H670" s="13"/>
      <c r="T670" s="13"/>
      <c r="U670" s="13"/>
      <c r="V670" s="13"/>
      <c r="W670" s="13"/>
      <c r="X670" s="13"/>
      <c r="Y670" s="10"/>
      <c r="Z670" s="9"/>
      <c r="AA670" s="9"/>
      <c r="AB670" s="9"/>
      <c r="AC670" s="9"/>
      <c r="AD670" s="9"/>
      <c r="AE670" s="9"/>
      <c r="AF670" s="9"/>
      <c r="AG670" s="9"/>
      <c r="AH670" s="9"/>
      <c r="AI670" s="9"/>
    </row>
    <row r="671" spans="1:35" ht="15.75" customHeight="1" x14ac:dyDescent="0.25">
      <c r="A671" s="10"/>
      <c r="B671" s="13"/>
      <c r="C671" s="13"/>
      <c r="D671" s="13"/>
      <c r="E671" s="13"/>
      <c r="F671" s="13"/>
      <c r="G671" s="13"/>
      <c r="H671" s="13"/>
      <c r="T671" s="13"/>
      <c r="U671" s="13"/>
      <c r="V671" s="13"/>
      <c r="W671" s="13"/>
      <c r="X671" s="13"/>
      <c r="Y671" s="10"/>
      <c r="Z671" s="9"/>
      <c r="AA671" s="9"/>
      <c r="AB671" s="9"/>
      <c r="AC671" s="9"/>
      <c r="AD671" s="9"/>
      <c r="AE671" s="9"/>
      <c r="AF671" s="9"/>
      <c r="AG671" s="9"/>
      <c r="AH671" s="9"/>
      <c r="AI671" s="9"/>
    </row>
    <row r="672" spans="1:35" ht="15.75" customHeight="1" x14ac:dyDescent="0.25">
      <c r="A672" s="10"/>
      <c r="B672" s="13"/>
      <c r="C672" s="13"/>
      <c r="D672" s="13"/>
      <c r="E672" s="13"/>
      <c r="F672" s="13"/>
      <c r="G672" s="13"/>
      <c r="H672" s="13"/>
      <c r="T672" s="13"/>
      <c r="U672" s="13"/>
      <c r="V672" s="13"/>
      <c r="W672" s="13"/>
      <c r="X672" s="13"/>
      <c r="Y672" s="10"/>
      <c r="Z672" s="9"/>
      <c r="AA672" s="9"/>
      <c r="AB672" s="9"/>
      <c r="AC672" s="9"/>
      <c r="AD672" s="9"/>
      <c r="AE672" s="9"/>
      <c r="AF672" s="9"/>
      <c r="AG672" s="9"/>
      <c r="AH672" s="9"/>
      <c r="AI672" s="9"/>
    </row>
    <row r="673" spans="1:35" ht="15.75" customHeight="1" x14ac:dyDescent="0.25">
      <c r="A673" s="10"/>
      <c r="B673" s="13"/>
      <c r="C673" s="13"/>
      <c r="D673" s="13"/>
      <c r="E673" s="13"/>
      <c r="F673" s="13"/>
      <c r="G673" s="13"/>
      <c r="H673" s="13"/>
      <c r="T673" s="13"/>
      <c r="U673" s="13"/>
      <c r="V673" s="13"/>
      <c r="W673" s="13"/>
      <c r="X673" s="13"/>
      <c r="Y673" s="10"/>
      <c r="Z673" s="9"/>
      <c r="AA673" s="9"/>
      <c r="AB673" s="9"/>
      <c r="AC673" s="9"/>
      <c r="AD673" s="9"/>
      <c r="AE673" s="9"/>
      <c r="AF673" s="9"/>
      <c r="AG673" s="9"/>
      <c r="AH673" s="9"/>
      <c r="AI673" s="9"/>
    </row>
    <row r="674" spans="1:35" ht="15.75" customHeight="1" x14ac:dyDescent="0.25">
      <c r="A674" s="10"/>
      <c r="B674" s="13"/>
      <c r="C674" s="13"/>
      <c r="D674" s="13"/>
      <c r="E674" s="13"/>
      <c r="F674" s="13"/>
      <c r="G674" s="13"/>
      <c r="H674" s="13"/>
      <c r="T674" s="13"/>
      <c r="U674" s="13"/>
      <c r="V674" s="13"/>
      <c r="W674" s="13"/>
      <c r="X674" s="13"/>
      <c r="Y674" s="10"/>
      <c r="Z674" s="9"/>
      <c r="AA674" s="9"/>
      <c r="AB674" s="9"/>
      <c r="AC674" s="9"/>
      <c r="AD674" s="9"/>
      <c r="AE674" s="9"/>
      <c r="AF674" s="9"/>
      <c r="AG674" s="9"/>
      <c r="AH674" s="9"/>
      <c r="AI674" s="9"/>
    </row>
    <row r="675" spans="1:35" ht="15.75" customHeight="1" x14ac:dyDescent="0.25">
      <c r="A675" s="10"/>
      <c r="B675" s="13"/>
      <c r="C675" s="13"/>
      <c r="D675" s="13"/>
      <c r="E675" s="13"/>
      <c r="F675" s="13"/>
      <c r="G675" s="13"/>
      <c r="H675" s="13"/>
      <c r="T675" s="13"/>
      <c r="U675" s="13"/>
      <c r="V675" s="13"/>
      <c r="W675" s="13"/>
      <c r="X675" s="13"/>
      <c r="Y675" s="10"/>
      <c r="Z675" s="9"/>
      <c r="AA675" s="9"/>
      <c r="AB675" s="9"/>
      <c r="AC675" s="9"/>
      <c r="AD675" s="9"/>
      <c r="AE675" s="9"/>
      <c r="AF675" s="9"/>
      <c r="AG675" s="9"/>
      <c r="AH675" s="9"/>
      <c r="AI675" s="9"/>
    </row>
    <row r="676" spans="1:35" ht="15.75" customHeight="1" x14ac:dyDescent="0.25">
      <c r="A676" s="10"/>
      <c r="B676" s="13"/>
      <c r="C676" s="13"/>
      <c r="D676" s="13"/>
      <c r="E676" s="13"/>
      <c r="F676" s="13"/>
      <c r="G676" s="13"/>
      <c r="H676" s="13"/>
      <c r="T676" s="13"/>
      <c r="U676" s="13"/>
      <c r="V676" s="13"/>
      <c r="W676" s="13"/>
      <c r="X676" s="13"/>
      <c r="Y676" s="10"/>
      <c r="Z676" s="9"/>
      <c r="AA676" s="9"/>
      <c r="AB676" s="9"/>
      <c r="AC676" s="9"/>
      <c r="AD676" s="9"/>
      <c r="AE676" s="9"/>
      <c r="AF676" s="9"/>
      <c r="AG676" s="9"/>
      <c r="AH676" s="9"/>
      <c r="AI676" s="9"/>
    </row>
    <row r="677" spans="1:35" ht="15.75" customHeight="1" x14ac:dyDescent="0.25">
      <c r="A677" s="10"/>
      <c r="B677" s="13"/>
      <c r="C677" s="13"/>
      <c r="D677" s="13"/>
      <c r="E677" s="13"/>
      <c r="F677" s="13"/>
      <c r="G677" s="13"/>
      <c r="H677" s="13"/>
      <c r="T677" s="13"/>
      <c r="U677" s="13"/>
      <c r="V677" s="13"/>
      <c r="W677" s="13"/>
      <c r="X677" s="13"/>
      <c r="Y677" s="10"/>
      <c r="Z677" s="9"/>
      <c r="AA677" s="9"/>
      <c r="AB677" s="9"/>
      <c r="AC677" s="9"/>
      <c r="AD677" s="9"/>
      <c r="AE677" s="9"/>
      <c r="AF677" s="9"/>
      <c r="AG677" s="9"/>
      <c r="AH677" s="9"/>
      <c r="AI677" s="9"/>
    </row>
    <row r="678" spans="1:35" ht="15.75" customHeight="1" x14ac:dyDescent="0.25">
      <c r="A678" s="10"/>
      <c r="B678" s="13"/>
      <c r="C678" s="13"/>
      <c r="D678" s="13"/>
      <c r="E678" s="13"/>
      <c r="F678" s="13"/>
      <c r="G678" s="13"/>
      <c r="H678" s="13"/>
      <c r="T678" s="13"/>
      <c r="U678" s="13"/>
      <c r="V678" s="13"/>
      <c r="W678" s="13"/>
      <c r="X678" s="13"/>
      <c r="Y678" s="10"/>
      <c r="Z678" s="9"/>
      <c r="AA678" s="9"/>
      <c r="AB678" s="9"/>
      <c r="AC678" s="9"/>
      <c r="AD678" s="9"/>
      <c r="AE678" s="9"/>
      <c r="AF678" s="9"/>
      <c r="AG678" s="9"/>
      <c r="AH678" s="9"/>
      <c r="AI678" s="9"/>
    </row>
    <row r="679" spans="1:35" ht="15.75" customHeight="1" x14ac:dyDescent="0.25">
      <c r="A679" s="10"/>
      <c r="B679" s="13"/>
      <c r="C679" s="13"/>
      <c r="D679" s="13"/>
      <c r="E679" s="13"/>
      <c r="F679" s="13"/>
      <c r="G679" s="13"/>
      <c r="H679" s="13"/>
      <c r="T679" s="13"/>
      <c r="U679" s="13"/>
      <c r="V679" s="13"/>
      <c r="W679" s="13"/>
      <c r="X679" s="13"/>
      <c r="Y679" s="10"/>
      <c r="Z679" s="9"/>
      <c r="AA679" s="9"/>
      <c r="AB679" s="9"/>
      <c r="AC679" s="9"/>
      <c r="AD679" s="9"/>
      <c r="AE679" s="9"/>
      <c r="AF679" s="9"/>
      <c r="AG679" s="9"/>
      <c r="AH679" s="9"/>
      <c r="AI679" s="9"/>
    </row>
    <row r="680" spans="1:35" ht="15.75" customHeight="1" x14ac:dyDescent="0.25">
      <c r="A680" s="10"/>
      <c r="B680" s="13"/>
      <c r="C680" s="13"/>
      <c r="D680" s="13"/>
      <c r="E680" s="13"/>
      <c r="F680" s="13"/>
      <c r="G680" s="13"/>
      <c r="H680" s="13"/>
      <c r="T680" s="13"/>
      <c r="U680" s="13"/>
      <c r="V680" s="13"/>
      <c r="W680" s="13"/>
      <c r="X680" s="13"/>
      <c r="Y680" s="10"/>
      <c r="Z680" s="9"/>
      <c r="AA680" s="9"/>
      <c r="AB680" s="9"/>
      <c r="AC680" s="9"/>
      <c r="AD680" s="9"/>
      <c r="AE680" s="9"/>
      <c r="AF680" s="9"/>
      <c r="AG680" s="9"/>
      <c r="AH680" s="9"/>
      <c r="AI680" s="9"/>
    </row>
    <row r="681" spans="1:35" ht="15.75" customHeight="1" x14ac:dyDescent="0.25">
      <c r="A681" s="10"/>
      <c r="B681" s="13"/>
      <c r="C681" s="13"/>
      <c r="D681" s="13"/>
      <c r="E681" s="13"/>
      <c r="F681" s="13"/>
      <c r="G681" s="13"/>
      <c r="H681" s="13"/>
      <c r="T681" s="13"/>
      <c r="U681" s="13"/>
      <c r="V681" s="13"/>
      <c r="W681" s="13"/>
      <c r="X681" s="13"/>
      <c r="Y681" s="10"/>
      <c r="Z681" s="9"/>
      <c r="AA681" s="9"/>
      <c r="AB681" s="9"/>
      <c r="AC681" s="9"/>
      <c r="AD681" s="9"/>
      <c r="AE681" s="9"/>
      <c r="AF681" s="9"/>
      <c r="AG681" s="9"/>
      <c r="AH681" s="9"/>
      <c r="AI681" s="9"/>
    </row>
    <row r="682" spans="1:35" ht="15.75" customHeight="1" x14ac:dyDescent="0.25">
      <c r="A682" s="10"/>
      <c r="B682" s="13"/>
      <c r="C682" s="13"/>
      <c r="D682" s="13"/>
      <c r="E682" s="13"/>
      <c r="F682" s="13"/>
      <c r="G682" s="13"/>
      <c r="H682" s="13"/>
      <c r="T682" s="13"/>
      <c r="U682" s="13"/>
      <c r="V682" s="13"/>
      <c r="W682" s="13"/>
      <c r="X682" s="13"/>
      <c r="Y682" s="10"/>
      <c r="Z682" s="9"/>
      <c r="AA682" s="9"/>
      <c r="AB682" s="9"/>
      <c r="AC682" s="9"/>
      <c r="AD682" s="9"/>
      <c r="AE682" s="9"/>
      <c r="AF682" s="9"/>
      <c r="AG682" s="9"/>
      <c r="AH682" s="9"/>
      <c r="AI682" s="9"/>
    </row>
    <row r="683" spans="1:35" ht="15.75" customHeight="1" x14ac:dyDescent="0.25">
      <c r="A683" s="10"/>
      <c r="B683" s="13"/>
      <c r="C683" s="13"/>
      <c r="D683" s="13"/>
      <c r="E683" s="13"/>
      <c r="F683" s="13"/>
      <c r="G683" s="13"/>
      <c r="H683" s="13"/>
      <c r="T683" s="13"/>
      <c r="U683" s="13"/>
      <c r="V683" s="13"/>
      <c r="W683" s="13"/>
      <c r="X683" s="13"/>
      <c r="Y683" s="10"/>
      <c r="Z683" s="9"/>
      <c r="AA683" s="9"/>
      <c r="AB683" s="9"/>
      <c r="AC683" s="9"/>
      <c r="AD683" s="9"/>
      <c r="AE683" s="9"/>
      <c r="AF683" s="9"/>
      <c r="AG683" s="9"/>
      <c r="AH683" s="9"/>
      <c r="AI683" s="9"/>
    </row>
    <row r="684" spans="1:35" ht="15.75" customHeight="1" x14ac:dyDescent="0.25">
      <c r="A684" s="10"/>
      <c r="B684" s="13"/>
      <c r="C684" s="13"/>
      <c r="D684" s="13"/>
      <c r="E684" s="13"/>
      <c r="F684" s="13"/>
      <c r="G684" s="13"/>
      <c r="H684" s="13"/>
      <c r="T684" s="13"/>
      <c r="U684" s="13"/>
      <c r="V684" s="13"/>
      <c r="W684" s="13"/>
      <c r="X684" s="13"/>
      <c r="Y684" s="10"/>
      <c r="Z684" s="9"/>
      <c r="AA684" s="9"/>
      <c r="AB684" s="9"/>
      <c r="AC684" s="9"/>
      <c r="AD684" s="9"/>
      <c r="AE684" s="9"/>
      <c r="AF684" s="9"/>
      <c r="AG684" s="9"/>
      <c r="AH684" s="9"/>
      <c r="AI684" s="9"/>
    </row>
    <row r="685" spans="1:35" ht="15.75" customHeight="1" x14ac:dyDescent="0.25">
      <c r="A685" s="10"/>
      <c r="B685" s="13"/>
      <c r="C685" s="13"/>
      <c r="D685" s="13"/>
      <c r="E685" s="13"/>
      <c r="F685" s="13"/>
      <c r="G685" s="13"/>
      <c r="H685" s="13"/>
      <c r="T685" s="13"/>
      <c r="U685" s="13"/>
      <c r="V685" s="13"/>
      <c r="W685" s="13"/>
      <c r="X685" s="13"/>
      <c r="Y685" s="10"/>
      <c r="Z685" s="9"/>
      <c r="AA685" s="9"/>
      <c r="AB685" s="9"/>
      <c r="AC685" s="9"/>
      <c r="AD685" s="9"/>
      <c r="AE685" s="9"/>
      <c r="AF685" s="9"/>
      <c r="AG685" s="9"/>
      <c r="AH685" s="9"/>
      <c r="AI685" s="9"/>
    </row>
    <row r="686" spans="1:35" ht="15.75" customHeight="1" x14ac:dyDescent="0.25">
      <c r="A686" s="10"/>
      <c r="B686" s="13"/>
      <c r="C686" s="13"/>
      <c r="D686" s="13"/>
      <c r="E686" s="13"/>
      <c r="F686" s="13"/>
      <c r="G686" s="13"/>
      <c r="H686" s="13"/>
      <c r="T686" s="13"/>
      <c r="U686" s="13"/>
      <c r="V686" s="13"/>
      <c r="W686" s="13"/>
      <c r="X686" s="13"/>
      <c r="Y686" s="10"/>
      <c r="Z686" s="9"/>
      <c r="AA686" s="9"/>
      <c r="AB686" s="9"/>
      <c r="AC686" s="9"/>
      <c r="AD686" s="9"/>
      <c r="AE686" s="9"/>
      <c r="AF686" s="9"/>
      <c r="AG686" s="9"/>
      <c r="AH686" s="9"/>
      <c r="AI686" s="9"/>
    </row>
    <row r="687" spans="1:35" ht="15.75" customHeight="1" x14ac:dyDescent="0.25">
      <c r="A687" s="10"/>
      <c r="B687" s="13"/>
      <c r="C687" s="13"/>
      <c r="D687" s="13"/>
      <c r="E687" s="13"/>
      <c r="F687" s="13"/>
      <c r="G687" s="13"/>
      <c r="H687" s="13"/>
      <c r="T687" s="13"/>
      <c r="U687" s="13"/>
      <c r="V687" s="13"/>
      <c r="W687" s="13"/>
      <c r="X687" s="13"/>
      <c r="Y687" s="10"/>
      <c r="Z687" s="9"/>
      <c r="AA687" s="9"/>
      <c r="AB687" s="9"/>
      <c r="AC687" s="9"/>
      <c r="AD687" s="9"/>
      <c r="AE687" s="9"/>
      <c r="AF687" s="9"/>
      <c r="AG687" s="9"/>
      <c r="AH687" s="9"/>
      <c r="AI687" s="9"/>
    </row>
    <row r="688" spans="1:35" ht="15.75" customHeight="1" x14ac:dyDescent="0.25">
      <c r="A688" s="10"/>
      <c r="B688" s="13"/>
      <c r="C688" s="13"/>
      <c r="D688" s="13"/>
      <c r="E688" s="13"/>
      <c r="F688" s="13"/>
      <c r="G688" s="13"/>
      <c r="H688" s="13"/>
      <c r="T688" s="13"/>
      <c r="U688" s="13"/>
      <c r="V688" s="13"/>
      <c r="W688" s="13"/>
      <c r="X688" s="13"/>
      <c r="Y688" s="10"/>
      <c r="Z688" s="9"/>
      <c r="AA688" s="9"/>
      <c r="AB688" s="9"/>
      <c r="AC688" s="9"/>
      <c r="AD688" s="9"/>
      <c r="AE688" s="9"/>
      <c r="AF688" s="9"/>
      <c r="AG688" s="9"/>
      <c r="AH688" s="9"/>
      <c r="AI688" s="9"/>
    </row>
    <row r="689" spans="1:35" ht="15.75" customHeight="1" x14ac:dyDescent="0.25">
      <c r="A689" s="10"/>
      <c r="B689" s="13"/>
      <c r="C689" s="13"/>
      <c r="D689" s="13"/>
      <c r="E689" s="13"/>
      <c r="F689" s="13"/>
      <c r="G689" s="13"/>
      <c r="H689" s="13"/>
      <c r="T689" s="13"/>
      <c r="U689" s="13"/>
      <c r="V689" s="13"/>
      <c r="W689" s="13"/>
      <c r="X689" s="13"/>
      <c r="Y689" s="10"/>
      <c r="Z689" s="9"/>
      <c r="AA689" s="9"/>
      <c r="AB689" s="9"/>
      <c r="AC689" s="9"/>
      <c r="AD689" s="9"/>
      <c r="AE689" s="9"/>
      <c r="AF689" s="9"/>
      <c r="AG689" s="9"/>
      <c r="AH689" s="9"/>
      <c r="AI689" s="9"/>
    </row>
    <row r="690" spans="1:35" ht="15.75" customHeight="1" x14ac:dyDescent="0.25">
      <c r="A690" s="10"/>
      <c r="B690" s="13"/>
      <c r="C690" s="13"/>
      <c r="D690" s="13"/>
      <c r="E690" s="13"/>
      <c r="F690" s="13"/>
      <c r="G690" s="13"/>
      <c r="H690" s="13"/>
      <c r="T690" s="13"/>
      <c r="U690" s="13"/>
      <c r="V690" s="13"/>
      <c r="W690" s="13"/>
      <c r="X690" s="13"/>
      <c r="Y690" s="10"/>
      <c r="Z690" s="9"/>
      <c r="AA690" s="9"/>
      <c r="AB690" s="9"/>
      <c r="AC690" s="9"/>
      <c r="AD690" s="9"/>
      <c r="AE690" s="9"/>
      <c r="AF690" s="9"/>
      <c r="AG690" s="9"/>
      <c r="AH690" s="9"/>
      <c r="AI690" s="9"/>
    </row>
    <row r="691" spans="1:35" ht="15.75" customHeight="1" x14ac:dyDescent="0.25">
      <c r="A691" s="10"/>
      <c r="B691" s="13"/>
      <c r="C691" s="13"/>
      <c r="D691" s="13"/>
      <c r="E691" s="13"/>
      <c r="F691" s="13"/>
      <c r="G691" s="13"/>
      <c r="H691" s="13"/>
      <c r="T691" s="13"/>
      <c r="U691" s="13"/>
      <c r="V691" s="13"/>
      <c r="W691" s="13"/>
      <c r="X691" s="13"/>
      <c r="Y691" s="10"/>
      <c r="Z691" s="9"/>
      <c r="AA691" s="9"/>
      <c r="AB691" s="9"/>
      <c r="AC691" s="9"/>
      <c r="AD691" s="9"/>
      <c r="AE691" s="9"/>
      <c r="AF691" s="9"/>
      <c r="AG691" s="9"/>
      <c r="AH691" s="9"/>
      <c r="AI691" s="9"/>
    </row>
    <row r="692" spans="1:35" ht="15.75" customHeight="1" x14ac:dyDescent="0.25">
      <c r="A692" s="10"/>
      <c r="B692" s="13"/>
      <c r="C692" s="13"/>
      <c r="D692" s="13"/>
      <c r="E692" s="13"/>
      <c r="F692" s="13"/>
      <c r="G692" s="13"/>
      <c r="H692" s="13"/>
      <c r="T692" s="13"/>
      <c r="U692" s="13"/>
      <c r="V692" s="13"/>
      <c r="W692" s="13"/>
      <c r="X692" s="13"/>
      <c r="Y692" s="10"/>
      <c r="Z692" s="9"/>
      <c r="AA692" s="9"/>
      <c r="AB692" s="9"/>
      <c r="AC692" s="9"/>
      <c r="AD692" s="9"/>
      <c r="AE692" s="9"/>
      <c r="AF692" s="9"/>
      <c r="AG692" s="9"/>
      <c r="AH692" s="9"/>
      <c r="AI692" s="9"/>
    </row>
    <row r="693" spans="1:35" ht="15.75" customHeight="1" x14ac:dyDescent="0.25">
      <c r="A693" s="10"/>
      <c r="B693" s="13"/>
      <c r="C693" s="13"/>
      <c r="D693" s="13"/>
      <c r="E693" s="13"/>
      <c r="F693" s="13"/>
      <c r="G693" s="13"/>
      <c r="H693" s="13"/>
      <c r="T693" s="13"/>
      <c r="U693" s="13"/>
      <c r="V693" s="13"/>
      <c r="W693" s="13"/>
      <c r="X693" s="13"/>
      <c r="Y693" s="10"/>
      <c r="Z693" s="9"/>
      <c r="AA693" s="9"/>
      <c r="AB693" s="9"/>
      <c r="AC693" s="9"/>
      <c r="AD693" s="9"/>
      <c r="AE693" s="9"/>
      <c r="AF693" s="9"/>
      <c r="AG693" s="9"/>
      <c r="AH693" s="9"/>
      <c r="AI693" s="9"/>
    </row>
    <row r="694" spans="1:35" ht="15.75" customHeight="1" x14ac:dyDescent="0.25">
      <c r="A694" s="10"/>
      <c r="B694" s="13"/>
      <c r="C694" s="13"/>
      <c r="D694" s="13"/>
      <c r="E694" s="13"/>
      <c r="F694" s="13"/>
      <c r="G694" s="13"/>
      <c r="H694" s="13"/>
      <c r="T694" s="13"/>
      <c r="U694" s="13"/>
      <c r="V694" s="13"/>
      <c r="W694" s="13"/>
      <c r="X694" s="13"/>
      <c r="Y694" s="10"/>
      <c r="Z694" s="9"/>
      <c r="AA694" s="9"/>
      <c r="AB694" s="9"/>
      <c r="AC694" s="9"/>
      <c r="AD694" s="9"/>
      <c r="AE694" s="9"/>
      <c r="AF694" s="9"/>
      <c r="AG694" s="9"/>
      <c r="AH694" s="9"/>
      <c r="AI694" s="9"/>
    </row>
    <row r="695" spans="1:35" ht="15.75" customHeight="1" x14ac:dyDescent="0.25">
      <c r="A695" s="10"/>
      <c r="B695" s="13"/>
      <c r="C695" s="13"/>
      <c r="D695" s="13"/>
      <c r="E695" s="13"/>
      <c r="F695" s="13"/>
      <c r="G695" s="13"/>
      <c r="H695" s="13"/>
      <c r="T695" s="13"/>
      <c r="U695" s="13"/>
      <c r="V695" s="13"/>
      <c r="W695" s="13"/>
      <c r="X695" s="13"/>
      <c r="Y695" s="10"/>
      <c r="Z695" s="9"/>
      <c r="AA695" s="9"/>
      <c r="AB695" s="9"/>
      <c r="AC695" s="9"/>
      <c r="AD695" s="9"/>
      <c r="AE695" s="9"/>
      <c r="AF695" s="9"/>
      <c r="AG695" s="9"/>
      <c r="AH695" s="9"/>
      <c r="AI695" s="9"/>
    </row>
    <row r="696" spans="1:35" ht="15.75" customHeight="1" x14ac:dyDescent="0.25">
      <c r="A696" s="10"/>
      <c r="B696" s="13"/>
      <c r="C696" s="13"/>
      <c r="D696" s="13"/>
      <c r="E696" s="13"/>
      <c r="F696" s="13"/>
      <c r="G696" s="13"/>
      <c r="H696" s="13"/>
      <c r="T696" s="13"/>
      <c r="U696" s="13"/>
      <c r="V696" s="13"/>
      <c r="W696" s="13"/>
      <c r="X696" s="13"/>
      <c r="Y696" s="10"/>
      <c r="Z696" s="9"/>
      <c r="AA696" s="9"/>
      <c r="AB696" s="9"/>
      <c r="AC696" s="9"/>
      <c r="AD696" s="9"/>
      <c r="AE696" s="9"/>
      <c r="AF696" s="9"/>
      <c r="AG696" s="9"/>
      <c r="AH696" s="9"/>
      <c r="AI696" s="9"/>
    </row>
    <row r="697" spans="1:35" ht="15.75" customHeight="1" x14ac:dyDescent="0.25">
      <c r="A697" s="10"/>
      <c r="B697" s="13"/>
      <c r="C697" s="13"/>
      <c r="D697" s="13"/>
      <c r="E697" s="13"/>
      <c r="F697" s="13"/>
      <c r="G697" s="13"/>
      <c r="H697" s="13"/>
      <c r="T697" s="13"/>
      <c r="U697" s="13"/>
      <c r="V697" s="13"/>
      <c r="W697" s="13"/>
      <c r="X697" s="13"/>
      <c r="Y697" s="10"/>
      <c r="Z697" s="9"/>
      <c r="AA697" s="9"/>
      <c r="AB697" s="9"/>
      <c r="AC697" s="9"/>
      <c r="AD697" s="9"/>
      <c r="AE697" s="9"/>
      <c r="AF697" s="9"/>
      <c r="AG697" s="9"/>
      <c r="AH697" s="9"/>
      <c r="AI697" s="9"/>
    </row>
    <row r="698" spans="1:35" ht="15.75" customHeight="1" x14ac:dyDescent="0.25">
      <c r="A698" s="10"/>
      <c r="B698" s="13"/>
      <c r="C698" s="13"/>
      <c r="D698" s="13"/>
      <c r="E698" s="13"/>
      <c r="F698" s="13"/>
      <c r="G698" s="13"/>
      <c r="H698" s="13"/>
      <c r="T698" s="13"/>
      <c r="U698" s="13"/>
      <c r="V698" s="13"/>
      <c r="W698" s="13"/>
      <c r="X698" s="13"/>
      <c r="Y698" s="10"/>
      <c r="Z698" s="9"/>
      <c r="AA698" s="9"/>
      <c r="AB698" s="9"/>
      <c r="AC698" s="9"/>
      <c r="AD698" s="9"/>
      <c r="AE698" s="9"/>
      <c r="AF698" s="9"/>
      <c r="AG698" s="9"/>
      <c r="AH698" s="9"/>
      <c r="AI698" s="9"/>
    </row>
    <row r="699" spans="1:35" ht="15.75" customHeight="1" x14ac:dyDescent="0.25">
      <c r="A699" s="10"/>
      <c r="B699" s="13"/>
      <c r="C699" s="13"/>
      <c r="D699" s="13"/>
      <c r="E699" s="13"/>
      <c r="F699" s="13"/>
      <c r="G699" s="13"/>
      <c r="H699" s="13"/>
      <c r="T699" s="13"/>
      <c r="U699" s="13"/>
      <c r="V699" s="13"/>
      <c r="W699" s="13"/>
      <c r="X699" s="13"/>
      <c r="Y699" s="10"/>
      <c r="Z699" s="9"/>
      <c r="AA699" s="9"/>
      <c r="AB699" s="9"/>
      <c r="AC699" s="9"/>
      <c r="AD699" s="9"/>
      <c r="AE699" s="9"/>
      <c r="AF699" s="9"/>
      <c r="AG699" s="9"/>
      <c r="AH699" s="9"/>
      <c r="AI699" s="9"/>
    </row>
    <row r="700" spans="1:35" ht="15.75" customHeight="1" x14ac:dyDescent="0.25">
      <c r="A700" s="10"/>
      <c r="B700" s="13"/>
      <c r="C700" s="13"/>
      <c r="D700" s="13"/>
      <c r="E700" s="13"/>
      <c r="F700" s="13"/>
      <c r="G700" s="13"/>
      <c r="H700" s="13"/>
      <c r="T700" s="13"/>
      <c r="U700" s="13"/>
      <c r="V700" s="13"/>
      <c r="W700" s="13"/>
      <c r="X700" s="13"/>
      <c r="Y700" s="10"/>
      <c r="Z700" s="9"/>
      <c r="AA700" s="9"/>
      <c r="AB700" s="9"/>
      <c r="AC700" s="9"/>
      <c r="AD700" s="9"/>
      <c r="AE700" s="9"/>
      <c r="AF700" s="9"/>
      <c r="AG700" s="9"/>
      <c r="AH700" s="9"/>
      <c r="AI700" s="9"/>
    </row>
    <row r="701" spans="1:35" ht="15.75" customHeight="1" x14ac:dyDescent="0.25">
      <c r="A701" s="10"/>
      <c r="B701" s="13"/>
      <c r="C701" s="13"/>
      <c r="D701" s="13"/>
      <c r="E701" s="13"/>
      <c r="F701" s="13"/>
      <c r="G701" s="13"/>
      <c r="H701" s="13"/>
      <c r="T701" s="13"/>
      <c r="U701" s="13"/>
      <c r="V701" s="13"/>
      <c r="W701" s="13"/>
      <c r="X701" s="13"/>
      <c r="Y701" s="10"/>
      <c r="Z701" s="9"/>
      <c r="AA701" s="9"/>
      <c r="AB701" s="9"/>
      <c r="AC701" s="9"/>
      <c r="AD701" s="9"/>
      <c r="AE701" s="9"/>
      <c r="AF701" s="9"/>
      <c r="AG701" s="9"/>
      <c r="AH701" s="9"/>
      <c r="AI701" s="9"/>
    </row>
    <row r="702" spans="1:35" ht="15.75" customHeight="1" x14ac:dyDescent="0.25">
      <c r="A702" s="10"/>
      <c r="B702" s="13"/>
      <c r="C702" s="13"/>
      <c r="D702" s="13"/>
      <c r="E702" s="13"/>
      <c r="F702" s="13"/>
      <c r="G702" s="13"/>
      <c r="H702" s="13"/>
      <c r="T702" s="13"/>
      <c r="U702" s="13"/>
      <c r="V702" s="13"/>
      <c r="W702" s="13"/>
      <c r="X702" s="13"/>
      <c r="Y702" s="10"/>
      <c r="Z702" s="9"/>
      <c r="AA702" s="9"/>
      <c r="AB702" s="9"/>
      <c r="AC702" s="9"/>
      <c r="AD702" s="9"/>
      <c r="AE702" s="9"/>
      <c r="AF702" s="9"/>
      <c r="AG702" s="9"/>
      <c r="AH702" s="9"/>
      <c r="AI702" s="9"/>
    </row>
    <row r="703" spans="1:35" ht="15.75" customHeight="1" x14ac:dyDescent="0.25">
      <c r="A703" s="10"/>
      <c r="B703" s="13"/>
      <c r="C703" s="13"/>
      <c r="D703" s="13"/>
      <c r="E703" s="13"/>
      <c r="F703" s="13"/>
      <c r="G703" s="13"/>
      <c r="H703" s="13"/>
      <c r="T703" s="13"/>
      <c r="U703" s="13"/>
      <c r="V703" s="13"/>
      <c r="W703" s="13"/>
      <c r="X703" s="13"/>
      <c r="Y703" s="10"/>
      <c r="Z703" s="9"/>
      <c r="AA703" s="9"/>
      <c r="AB703" s="9"/>
      <c r="AC703" s="9"/>
      <c r="AD703" s="9"/>
      <c r="AE703" s="9"/>
      <c r="AF703" s="9"/>
      <c r="AG703" s="9"/>
      <c r="AH703" s="9"/>
      <c r="AI703" s="9"/>
    </row>
    <row r="704" spans="1:35" ht="15.75" customHeight="1" x14ac:dyDescent="0.25">
      <c r="A704" s="10"/>
      <c r="B704" s="13"/>
      <c r="C704" s="13"/>
      <c r="D704" s="13"/>
      <c r="E704" s="13"/>
      <c r="F704" s="13"/>
      <c r="G704" s="13"/>
      <c r="H704" s="13"/>
      <c r="T704" s="13"/>
      <c r="U704" s="13"/>
      <c r="V704" s="13"/>
      <c r="W704" s="13"/>
      <c r="X704" s="13"/>
      <c r="Y704" s="10"/>
      <c r="Z704" s="9"/>
      <c r="AA704" s="9"/>
      <c r="AB704" s="9"/>
      <c r="AC704" s="9"/>
      <c r="AD704" s="9"/>
      <c r="AE704" s="9"/>
      <c r="AF704" s="9"/>
      <c r="AG704" s="9"/>
      <c r="AH704" s="9"/>
      <c r="AI704" s="9"/>
    </row>
    <row r="705" spans="1:35" ht="15.75" customHeight="1" x14ac:dyDescent="0.25">
      <c r="A705" s="10"/>
      <c r="B705" s="13"/>
      <c r="C705" s="13"/>
      <c r="D705" s="13"/>
      <c r="E705" s="13"/>
      <c r="F705" s="13"/>
      <c r="G705" s="13"/>
      <c r="H705" s="13"/>
      <c r="T705" s="13"/>
      <c r="U705" s="13"/>
      <c r="V705" s="13"/>
      <c r="W705" s="13"/>
      <c r="X705" s="13"/>
      <c r="Y705" s="10"/>
      <c r="Z705" s="9"/>
      <c r="AA705" s="9"/>
      <c r="AB705" s="9"/>
      <c r="AC705" s="9"/>
      <c r="AD705" s="9"/>
      <c r="AE705" s="9"/>
      <c r="AF705" s="9"/>
      <c r="AG705" s="9"/>
      <c r="AH705" s="9"/>
      <c r="AI705" s="9"/>
    </row>
    <row r="706" spans="1:35" ht="15.75" customHeight="1" x14ac:dyDescent="0.25">
      <c r="A706" s="10"/>
      <c r="B706" s="13"/>
      <c r="C706" s="13"/>
      <c r="D706" s="13"/>
      <c r="E706" s="13"/>
      <c r="F706" s="13"/>
      <c r="G706" s="13"/>
      <c r="H706" s="13"/>
      <c r="T706" s="13"/>
      <c r="U706" s="13"/>
      <c r="V706" s="13"/>
      <c r="W706" s="13"/>
      <c r="X706" s="13"/>
      <c r="Y706" s="10"/>
      <c r="Z706" s="9"/>
      <c r="AA706" s="9"/>
      <c r="AB706" s="9"/>
      <c r="AC706" s="9"/>
      <c r="AD706" s="9"/>
      <c r="AE706" s="9"/>
      <c r="AF706" s="9"/>
      <c r="AG706" s="9"/>
      <c r="AH706" s="9"/>
      <c r="AI706" s="9"/>
    </row>
    <row r="707" spans="1:35" ht="15.75" customHeight="1" x14ac:dyDescent="0.25">
      <c r="A707" s="10"/>
      <c r="B707" s="13"/>
      <c r="C707" s="13"/>
      <c r="D707" s="13"/>
      <c r="E707" s="13"/>
      <c r="F707" s="13"/>
      <c r="G707" s="13"/>
      <c r="H707" s="13"/>
      <c r="T707" s="13"/>
      <c r="U707" s="13"/>
      <c r="V707" s="13"/>
      <c r="W707" s="13"/>
      <c r="X707" s="13"/>
      <c r="Y707" s="10"/>
      <c r="Z707" s="9"/>
      <c r="AA707" s="9"/>
      <c r="AB707" s="9"/>
      <c r="AC707" s="9"/>
      <c r="AD707" s="9"/>
      <c r="AE707" s="9"/>
      <c r="AF707" s="9"/>
      <c r="AG707" s="9"/>
      <c r="AH707" s="9"/>
      <c r="AI707" s="9"/>
    </row>
    <row r="708" spans="1:35" ht="15.75" customHeight="1" x14ac:dyDescent="0.25">
      <c r="A708" s="10"/>
      <c r="B708" s="13"/>
      <c r="C708" s="13"/>
      <c r="D708" s="13"/>
      <c r="E708" s="13"/>
      <c r="F708" s="13"/>
      <c r="G708" s="13"/>
      <c r="H708" s="13"/>
      <c r="T708" s="13"/>
      <c r="U708" s="13"/>
      <c r="V708" s="13"/>
      <c r="W708" s="13"/>
      <c r="X708" s="13"/>
      <c r="Y708" s="10"/>
      <c r="Z708" s="9"/>
      <c r="AA708" s="9"/>
      <c r="AB708" s="9"/>
      <c r="AC708" s="9"/>
      <c r="AD708" s="9"/>
      <c r="AE708" s="9"/>
      <c r="AF708" s="9"/>
      <c r="AG708" s="9"/>
      <c r="AH708" s="9"/>
      <c r="AI708" s="9"/>
    </row>
    <row r="709" spans="1:35" ht="15.75" customHeight="1" x14ac:dyDescent="0.25">
      <c r="A709" s="10"/>
      <c r="B709" s="13"/>
      <c r="C709" s="13"/>
      <c r="D709" s="13"/>
      <c r="E709" s="13"/>
      <c r="F709" s="13"/>
      <c r="G709" s="13"/>
      <c r="H709" s="13"/>
      <c r="T709" s="13"/>
      <c r="U709" s="13"/>
      <c r="V709" s="13"/>
      <c r="W709" s="13"/>
      <c r="X709" s="13"/>
      <c r="Y709" s="10"/>
      <c r="Z709" s="9"/>
      <c r="AA709" s="9"/>
      <c r="AB709" s="9"/>
      <c r="AC709" s="9"/>
      <c r="AD709" s="9"/>
      <c r="AE709" s="9"/>
      <c r="AF709" s="9"/>
      <c r="AG709" s="9"/>
      <c r="AH709" s="9"/>
      <c r="AI709" s="9"/>
    </row>
    <row r="710" spans="1:35" ht="15.75" customHeight="1" x14ac:dyDescent="0.25">
      <c r="A710" s="10"/>
      <c r="B710" s="13"/>
      <c r="C710" s="13"/>
      <c r="D710" s="13"/>
      <c r="E710" s="13"/>
      <c r="F710" s="13"/>
      <c r="G710" s="13"/>
      <c r="H710" s="13"/>
      <c r="T710" s="13"/>
      <c r="U710" s="13"/>
      <c r="V710" s="13"/>
      <c r="W710" s="13"/>
      <c r="X710" s="13"/>
      <c r="Y710" s="10"/>
      <c r="Z710" s="9"/>
      <c r="AA710" s="9"/>
      <c r="AB710" s="9"/>
      <c r="AC710" s="9"/>
      <c r="AD710" s="9"/>
      <c r="AE710" s="9"/>
      <c r="AF710" s="9"/>
      <c r="AG710" s="9"/>
      <c r="AH710" s="9"/>
      <c r="AI710" s="9"/>
    </row>
    <row r="711" spans="1:35" ht="15.75" customHeight="1" x14ac:dyDescent="0.25">
      <c r="A711" s="10"/>
      <c r="B711" s="13"/>
      <c r="C711" s="13"/>
      <c r="D711" s="13"/>
      <c r="E711" s="13"/>
      <c r="F711" s="13"/>
      <c r="G711" s="13"/>
      <c r="H711" s="13"/>
      <c r="T711" s="13"/>
      <c r="U711" s="13"/>
      <c r="V711" s="13"/>
      <c r="W711" s="13"/>
      <c r="X711" s="13"/>
      <c r="Y711" s="10"/>
      <c r="Z711" s="9"/>
      <c r="AA711" s="9"/>
      <c r="AB711" s="9"/>
      <c r="AC711" s="9"/>
      <c r="AD711" s="9"/>
      <c r="AE711" s="9"/>
      <c r="AF711" s="9"/>
      <c r="AG711" s="9"/>
      <c r="AH711" s="9"/>
      <c r="AI711" s="9"/>
    </row>
    <row r="712" spans="1:35" ht="15.75" customHeight="1" x14ac:dyDescent="0.25">
      <c r="A712" s="10"/>
      <c r="B712" s="13"/>
      <c r="C712" s="13"/>
      <c r="D712" s="13"/>
      <c r="E712" s="13"/>
      <c r="F712" s="13"/>
      <c r="G712" s="13"/>
      <c r="H712" s="13"/>
      <c r="T712" s="13"/>
      <c r="U712" s="13"/>
      <c r="V712" s="13"/>
      <c r="W712" s="13"/>
      <c r="X712" s="13"/>
      <c r="Y712" s="10"/>
      <c r="Z712" s="9"/>
      <c r="AA712" s="9"/>
      <c r="AB712" s="9"/>
      <c r="AC712" s="9"/>
      <c r="AD712" s="9"/>
      <c r="AE712" s="9"/>
      <c r="AF712" s="9"/>
      <c r="AG712" s="9"/>
      <c r="AH712" s="9"/>
      <c r="AI712" s="9"/>
    </row>
    <row r="713" spans="1:35" ht="15.75" customHeight="1" x14ac:dyDescent="0.25">
      <c r="A713" s="10"/>
      <c r="B713" s="13"/>
      <c r="C713" s="13"/>
      <c r="D713" s="13"/>
      <c r="E713" s="13"/>
      <c r="F713" s="13"/>
      <c r="G713" s="13"/>
      <c r="H713" s="13"/>
      <c r="T713" s="13"/>
      <c r="U713" s="13"/>
      <c r="V713" s="13"/>
      <c r="W713" s="13"/>
      <c r="X713" s="13"/>
      <c r="Y713" s="10"/>
      <c r="Z713" s="9"/>
      <c r="AA713" s="9"/>
      <c r="AB713" s="9"/>
      <c r="AC713" s="9"/>
      <c r="AD713" s="9"/>
      <c r="AE713" s="9"/>
      <c r="AF713" s="9"/>
      <c r="AG713" s="9"/>
      <c r="AH713" s="9"/>
      <c r="AI713" s="9"/>
    </row>
    <row r="714" spans="1:35" ht="15.75" customHeight="1" x14ac:dyDescent="0.25">
      <c r="A714" s="10"/>
      <c r="B714" s="13"/>
      <c r="C714" s="13"/>
      <c r="D714" s="13"/>
      <c r="E714" s="13"/>
      <c r="F714" s="13"/>
      <c r="G714" s="13"/>
      <c r="H714" s="13"/>
      <c r="T714" s="13"/>
      <c r="U714" s="13"/>
      <c r="V714" s="13"/>
      <c r="W714" s="13"/>
      <c r="X714" s="13"/>
      <c r="Y714" s="10"/>
      <c r="Z714" s="9"/>
      <c r="AA714" s="9"/>
      <c r="AB714" s="9"/>
      <c r="AC714" s="9"/>
      <c r="AD714" s="9"/>
      <c r="AE714" s="9"/>
      <c r="AF714" s="9"/>
      <c r="AG714" s="9"/>
      <c r="AH714" s="9"/>
      <c r="AI714" s="9"/>
    </row>
    <row r="715" spans="1:35" ht="15.75" customHeight="1" x14ac:dyDescent="0.25">
      <c r="A715" s="10"/>
      <c r="B715" s="13"/>
      <c r="C715" s="13"/>
      <c r="D715" s="13"/>
      <c r="E715" s="13"/>
      <c r="F715" s="13"/>
      <c r="G715" s="13"/>
      <c r="H715" s="13"/>
      <c r="T715" s="13"/>
      <c r="U715" s="13"/>
      <c r="V715" s="13"/>
      <c r="W715" s="13"/>
      <c r="X715" s="13"/>
      <c r="Y715" s="10"/>
      <c r="Z715" s="9"/>
      <c r="AA715" s="9"/>
      <c r="AB715" s="9"/>
      <c r="AC715" s="9"/>
      <c r="AD715" s="9"/>
      <c r="AE715" s="9"/>
      <c r="AF715" s="9"/>
      <c r="AG715" s="9"/>
      <c r="AH715" s="9"/>
      <c r="AI715" s="9"/>
    </row>
    <row r="716" spans="1:35" ht="15.75" customHeight="1" x14ac:dyDescent="0.25">
      <c r="A716" s="10"/>
      <c r="B716" s="13"/>
      <c r="C716" s="13"/>
      <c r="D716" s="13"/>
      <c r="E716" s="13"/>
      <c r="F716" s="13"/>
      <c r="G716" s="13"/>
      <c r="H716" s="13"/>
      <c r="T716" s="13"/>
      <c r="U716" s="13"/>
      <c r="V716" s="13"/>
      <c r="W716" s="13"/>
      <c r="X716" s="13"/>
      <c r="Y716" s="10"/>
      <c r="Z716" s="9"/>
      <c r="AA716" s="9"/>
      <c r="AB716" s="9"/>
      <c r="AC716" s="9"/>
      <c r="AD716" s="9"/>
      <c r="AE716" s="9"/>
      <c r="AF716" s="9"/>
      <c r="AG716" s="9"/>
      <c r="AH716" s="9"/>
      <c r="AI716" s="9"/>
    </row>
    <row r="717" spans="1:35" ht="15.75" customHeight="1" x14ac:dyDescent="0.25">
      <c r="A717" s="10"/>
      <c r="B717" s="13"/>
      <c r="C717" s="13"/>
      <c r="D717" s="13"/>
      <c r="E717" s="13"/>
      <c r="F717" s="13"/>
      <c r="G717" s="13"/>
      <c r="H717" s="13"/>
      <c r="T717" s="13"/>
      <c r="U717" s="13"/>
      <c r="V717" s="13"/>
      <c r="W717" s="13"/>
      <c r="X717" s="13"/>
      <c r="Y717" s="10"/>
      <c r="Z717" s="9"/>
      <c r="AA717" s="9"/>
      <c r="AB717" s="9"/>
      <c r="AC717" s="9"/>
      <c r="AD717" s="9"/>
      <c r="AE717" s="9"/>
      <c r="AF717" s="9"/>
      <c r="AG717" s="9"/>
      <c r="AH717" s="9"/>
      <c r="AI717" s="9"/>
    </row>
    <row r="718" spans="1:35" ht="15.75" customHeight="1" x14ac:dyDescent="0.25">
      <c r="A718" s="10"/>
      <c r="B718" s="13"/>
      <c r="C718" s="13"/>
      <c r="D718" s="13"/>
      <c r="E718" s="13"/>
      <c r="F718" s="13"/>
      <c r="G718" s="13"/>
      <c r="H718" s="13"/>
      <c r="T718" s="13"/>
      <c r="U718" s="13"/>
      <c r="V718" s="13"/>
      <c r="W718" s="13"/>
      <c r="X718" s="13"/>
      <c r="Y718" s="10"/>
      <c r="Z718" s="9"/>
      <c r="AA718" s="9"/>
      <c r="AB718" s="9"/>
      <c r="AC718" s="9"/>
      <c r="AD718" s="9"/>
      <c r="AE718" s="9"/>
      <c r="AF718" s="9"/>
      <c r="AG718" s="9"/>
      <c r="AH718" s="9"/>
      <c r="AI718" s="9"/>
    </row>
    <row r="719" spans="1:35" ht="15.75" customHeight="1" x14ac:dyDescent="0.25">
      <c r="A719" s="10"/>
      <c r="B719" s="13"/>
      <c r="C719" s="13"/>
      <c r="D719" s="13"/>
      <c r="E719" s="13"/>
      <c r="F719" s="13"/>
      <c r="G719" s="13"/>
      <c r="H719" s="13"/>
      <c r="T719" s="13"/>
      <c r="U719" s="13"/>
      <c r="V719" s="13"/>
      <c r="W719" s="13"/>
      <c r="X719" s="13"/>
      <c r="Y719" s="10"/>
      <c r="Z719" s="9"/>
      <c r="AA719" s="9"/>
      <c r="AB719" s="9"/>
      <c r="AC719" s="9"/>
      <c r="AD719" s="9"/>
      <c r="AE719" s="9"/>
      <c r="AF719" s="9"/>
      <c r="AG719" s="9"/>
      <c r="AH719" s="9"/>
      <c r="AI719" s="9"/>
    </row>
    <row r="720" spans="1:35" ht="15.75" customHeight="1" x14ac:dyDescent="0.25">
      <c r="A720" s="10"/>
      <c r="B720" s="13"/>
      <c r="C720" s="13"/>
      <c r="D720" s="13"/>
      <c r="E720" s="13"/>
      <c r="F720" s="13"/>
      <c r="G720" s="13"/>
      <c r="H720" s="13"/>
      <c r="T720" s="13"/>
      <c r="U720" s="13"/>
      <c r="V720" s="13"/>
      <c r="W720" s="13"/>
      <c r="X720" s="13"/>
      <c r="Y720" s="10"/>
      <c r="Z720" s="9"/>
      <c r="AA720" s="9"/>
      <c r="AB720" s="9"/>
      <c r="AC720" s="9"/>
      <c r="AD720" s="9"/>
      <c r="AE720" s="9"/>
      <c r="AF720" s="9"/>
      <c r="AG720" s="9"/>
      <c r="AH720" s="9"/>
      <c r="AI720" s="9"/>
    </row>
    <row r="721" spans="1:35" ht="15.75" customHeight="1" x14ac:dyDescent="0.25">
      <c r="A721" s="10"/>
      <c r="B721" s="13"/>
      <c r="C721" s="13"/>
      <c r="D721" s="13"/>
      <c r="E721" s="13"/>
      <c r="F721" s="13"/>
      <c r="G721" s="13"/>
      <c r="H721" s="13"/>
      <c r="T721" s="13"/>
      <c r="U721" s="13"/>
      <c r="V721" s="13"/>
      <c r="W721" s="13"/>
      <c r="X721" s="13"/>
      <c r="Y721" s="10"/>
      <c r="Z721" s="9"/>
      <c r="AA721" s="9"/>
      <c r="AB721" s="9"/>
      <c r="AC721" s="9"/>
      <c r="AD721" s="9"/>
      <c r="AE721" s="9"/>
      <c r="AF721" s="9"/>
      <c r="AG721" s="9"/>
      <c r="AH721" s="9"/>
      <c r="AI721" s="9"/>
    </row>
    <row r="722" spans="1:35" ht="15.75" customHeight="1" x14ac:dyDescent="0.25">
      <c r="A722" s="10"/>
      <c r="B722" s="13"/>
      <c r="C722" s="13"/>
      <c r="D722" s="13"/>
      <c r="E722" s="13"/>
      <c r="F722" s="13"/>
      <c r="G722" s="13"/>
      <c r="H722" s="13"/>
      <c r="T722" s="13"/>
      <c r="U722" s="13"/>
      <c r="V722" s="13"/>
      <c r="W722" s="13"/>
      <c r="X722" s="13"/>
      <c r="Y722" s="10"/>
      <c r="Z722" s="9"/>
      <c r="AA722" s="9"/>
      <c r="AB722" s="9"/>
      <c r="AC722" s="9"/>
      <c r="AD722" s="9"/>
      <c r="AE722" s="9"/>
      <c r="AF722" s="9"/>
      <c r="AG722" s="9"/>
      <c r="AH722" s="9"/>
      <c r="AI722" s="9"/>
    </row>
    <row r="723" spans="1:35" ht="15.75" customHeight="1" x14ac:dyDescent="0.25">
      <c r="A723" s="10"/>
      <c r="B723" s="13"/>
      <c r="C723" s="13"/>
      <c r="D723" s="13"/>
      <c r="E723" s="13"/>
      <c r="F723" s="13"/>
      <c r="G723" s="13"/>
      <c r="H723" s="13"/>
      <c r="T723" s="13"/>
      <c r="U723" s="13"/>
      <c r="V723" s="13"/>
      <c r="W723" s="13"/>
      <c r="X723" s="13"/>
      <c r="Y723" s="10"/>
      <c r="Z723" s="9"/>
      <c r="AA723" s="9"/>
      <c r="AB723" s="9"/>
      <c r="AC723" s="9"/>
      <c r="AD723" s="9"/>
      <c r="AE723" s="9"/>
      <c r="AF723" s="9"/>
      <c r="AG723" s="9"/>
      <c r="AH723" s="9"/>
      <c r="AI723" s="9"/>
    </row>
    <row r="724" spans="1:35" ht="15.75" customHeight="1" x14ac:dyDescent="0.25">
      <c r="A724" s="10"/>
      <c r="B724" s="13"/>
      <c r="C724" s="13"/>
      <c r="D724" s="13"/>
      <c r="E724" s="13"/>
      <c r="F724" s="13"/>
      <c r="G724" s="13"/>
      <c r="H724" s="13"/>
      <c r="T724" s="13"/>
      <c r="U724" s="13"/>
      <c r="V724" s="13"/>
      <c r="W724" s="13"/>
      <c r="X724" s="13"/>
      <c r="Y724" s="10"/>
      <c r="Z724" s="9"/>
      <c r="AA724" s="9"/>
      <c r="AB724" s="9"/>
      <c r="AC724" s="9"/>
      <c r="AD724" s="9"/>
      <c r="AE724" s="9"/>
      <c r="AF724" s="9"/>
      <c r="AG724" s="9"/>
      <c r="AH724" s="9"/>
      <c r="AI724" s="9"/>
    </row>
    <row r="725" spans="1:35" ht="15.75" customHeight="1" x14ac:dyDescent="0.25">
      <c r="A725" s="10"/>
      <c r="B725" s="13"/>
      <c r="C725" s="13"/>
      <c r="D725" s="13"/>
      <c r="E725" s="13"/>
      <c r="F725" s="13"/>
      <c r="G725" s="13"/>
      <c r="H725" s="13"/>
      <c r="T725" s="13"/>
      <c r="U725" s="13"/>
      <c r="V725" s="13"/>
      <c r="W725" s="13"/>
      <c r="X725" s="13"/>
      <c r="Y725" s="10"/>
      <c r="Z725" s="9"/>
      <c r="AA725" s="9"/>
      <c r="AB725" s="9"/>
      <c r="AC725" s="9"/>
      <c r="AD725" s="9"/>
      <c r="AE725" s="9"/>
      <c r="AF725" s="9"/>
      <c r="AG725" s="9"/>
      <c r="AH725" s="9"/>
      <c r="AI725" s="9"/>
    </row>
    <row r="726" spans="1:35" ht="15.75" customHeight="1" x14ac:dyDescent="0.25">
      <c r="A726" s="10"/>
      <c r="B726" s="13"/>
      <c r="C726" s="13"/>
      <c r="D726" s="13"/>
      <c r="E726" s="13"/>
      <c r="F726" s="13"/>
      <c r="G726" s="13"/>
      <c r="H726" s="13"/>
      <c r="T726" s="13"/>
      <c r="U726" s="13"/>
      <c r="V726" s="13"/>
      <c r="W726" s="13"/>
      <c r="X726" s="13"/>
      <c r="Y726" s="10"/>
      <c r="Z726" s="9"/>
      <c r="AA726" s="9"/>
      <c r="AB726" s="9"/>
      <c r="AC726" s="9"/>
      <c r="AD726" s="9"/>
      <c r="AE726" s="9"/>
      <c r="AF726" s="9"/>
      <c r="AG726" s="9"/>
      <c r="AH726" s="9"/>
      <c r="AI726" s="9"/>
    </row>
    <row r="727" spans="1:35" ht="15.75" customHeight="1" x14ac:dyDescent="0.25">
      <c r="A727" s="10"/>
      <c r="B727" s="13"/>
      <c r="C727" s="13"/>
      <c r="D727" s="13"/>
      <c r="E727" s="13"/>
      <c r="F727" s="13"/>
      <c r="G727" s="13"/>
      <c r="H727" s="13"/>
      <c r="T727" s="13"/>
      <c r="U727" s="13"/>
      <c r="V727" s="13"/>
      <c r="W727" s="13"/>
      <c r="X727" s="13"/>
      <c r="Y727" s="10"/>
      <c r="Z727" s="9"/>
      <c r="AA727" s="9"/>
      <c r="AB727" s="9"/>
      <c r="AC727" s="9"/>
      <c r="AD727" s="9"/>
      <c r="AE727" s="9"/>
      <c r="AF727" s="9"/>
      <c r="AG727" s="9"/>
      <c r="AH727" s="9"/>
      <c r="AI727" s="9"/>
    </row>
    <row r="728" spans="1:35" ht="15.75" customHeight="1" x14ac:dyDescent="0.25">
      <c r="A728" s="10"/>
      <c r="B728" s="13"/>
      <c r="C728" s="13"/>
      <c r="D728" s="13"/>
      <c r="E728" s="13"/>
      <c r="F728" s="13"/>
      <c r="G728" s="13"/>
      <c r="H728" s="13"/>
      <c r="T728" s="13"/>
      <c r="U728" s="13"/>
      <c r="V728" s="13"/>
      <c r="W728" s="13"/>
      <c r="X728" s="13"/>
      <c r="Y728" s="10"/>
      <c r="Z728" s="9"/>
      <c r="AA728" s="9"/>
      <c r="AB728" s="9"/>
      <c r="AC728" s="9"/>
      <c r="AD728" s="9"/>
      <c r="AE728" s="9"/>
      <c r="AF728" s="9"/>
      <c r="AG728" s="9"/>
      <c r="AH728" s="9"/>
      <c r="AI728" s="9"/>
    </row>
    <row r="729" spans="1:35" ht="15.75" customHeight="1" x14ac:dyDescent="0.25">
      <c r="A729" s="10"/>
      <c r="B729" s="13"/>
      <c r="C729" s="13"/>
      <c r="D729" s="13"/>
      <c r="E729" s="13"/>
      <c r="F729" s="13"/>
      <c r="G729" s="13"/>
      <c r="H729" s="13"/>
      <c r="T729" s="13"/>
      <c r="U729" s="13"/>
      <c r="V729" s="13"/>
      <c r="W729" s="13"/>
      <c r="X729" s="13"/>
      <c r="Y729" s="10"/>
      <c r="Z729" s="9"/>
      <c r="AA729" s="9"/>
      <c r="AB729" s="9"/>
      <c r="AC729" s="9"/>
      <c r="AD729" s="9"/>
      <c r="AE729" s="9"/>
      <c r="AF729" s="9"/>
      <c r="AG729" s="9"/>
      <c r="AH729" s="9"/>
      <c r="AI729" s="9"/>
    </row>
    <row r="730" spans="1:35" ht="15.75" customHeight="1" x14ac:dyDescent="0.25">
      <c r="A730" s="10"/>
      <c r="B730" s="13"/>
      <c r="C730" s="13"/>
      <c r="D730" s="13"/>
      <c r="E730" s="13"/>
      <c r="F730" s="13"/>
      <c r="G730" s="13"/>
      <c r="H730" s="13"/>
      <c r="T730" s="13"/>
      <c r="U730" s="13"/>
      <c r="V730" s="13"/>
      <c r="W730" s="13"/>
      <c r="X730" s="13"/>
      <c r="Y730" s="10"/>
      <c r="Z730" s="9"/>
      <c r="AA730" s="9"/>
      <c r="AB730" s="9"/>
      <c r="AC730" s="9"/>
      <c r="AD730" s="9"/>
      <c r="AE730" s="9"/>
      <c r="AF730" s="9"/>
      <c r="AG730" s="9"/>
      <c r="AH730" s="9"/>
      <c r="AI730" s="9"/>
    </row>
    <row r="731" spans="1:35" ht="15.75" customHeight="1" x14ac:dyDescent="0.25">
      <c r="A731" s="10"/>
      <c r="B731" s="13"/>
      <c r="C731" s="13"/>
      <c r="D731" s="13"/>
      <c r="E731" s="13"/>
      <c r="F731" s="13"/>
      <c r="G731" s="13"/>
      <c r="H731" s="13"/>
      <c r="T731" s="13"/>
      <c r="U731" s="13"/>
      <c r="V731" s="13"/>
      <c r="W731" s="13"/>
      <c r="X731" s="13"/>
      <c r="Y731" s="10"/>
      <c r="Z731" s="9"/>
      <c r="AA731" s="9"/>
      <c r="AB731" s="9"/>
      <c r="AC731" s="9"/>
      <c r="AD731" s="9"/>
      <c r="AE731" s="9"/>
      <c r="AF731" s="9"/>
      <c r="AG731" s="9"/>
      <c r="AH731" s="9"/>
      <c r="AI731" s="9"/>
    </row>
    <row r="732" spans="1:35" ht="15.75" customHeight="1" x14ac:dyDescent="0.25">
      <c r="A732" s="10"/>
      <c r="B732" s="13"/>
      <c r="C732" s="13"/>
      <c r="D732" s="13"/>
      <c r="E732" s="13"/>
      <c r="F732" s="13"/>
      <c r="G732" s="13"/>
      <c r="H732" s="13"/>
      <c r="T732" s="13"/>
      <c r="U732" s="13"/>
      <c r="V732" s="13"/>
      <c r="W732" s="13"/>
      <c r="X732" s="13"/>
      <c r="Y732" s="10"/>
      <c r="Z732" s="9"/>
      <c r="AA732" s="9"/>
      <c r="AB732" s="9"/>
      <c r="AC732" s="9"/>
      <c r="AD732" s="9"/>
      <c r="AE732" s="9"/>
      <c r="AF732" s="9"/>
      <c r="AG732" s="9"/>
      <c r="AH732" s="9"/>
      <c r="AI732" s="9"/>
    </row>
    <row r="733" spans="1:35" ht="15.75" customHeight="1" x14ac:dyDescent="0.25">
      <c r="A733" s="10"/>
      <c r="B733" s="13"/>
      <c r="C733" s="13"/>
      <c r="D733" s="13"/>
      <c r="E733" s="13"/>
      <c r="F733" s="13"/>
      <c r="G733" s="13"/>
      <c r="H733" s="13"/>
      <c r="T733" s="13"/>
      <c r="U733" s="13"/>
      <c r="V733" s="13"/>
      <c r="W733" s="13"/>
      <c r="X733" s="13"/>
      <c r="Y733" s="10"/>
      <c r="Z733" s="9"/>
      <c r="AA733" s="9"/>
      <c r="AB733" s="9"/>
      <c r="AC733" s="9"/>
      <c r="AD733" s="9"/>
      <c r="AE733" s="9"/>
      <c r="AF733" s="9"/>
      <c r="AG733" s="9"/>
      <c r="AH733" s="9"/>
      <c r="AI733" s="9"/>
    </row>
    <row r="734" spans="1:35" ht="15.75" customHeight="1" x14ac:dyDescent="0.25">
      <c r="A734" s="10"/>
      <c r="B734" s="13"/>
      <c r="C734" s="13"/>
      <c r="D734" s="13"/>
      <c r="E734" s="13"/>
      <c r="F734" s="13"/>
      <c r="G734" s="13"/>
      <c r="H734" s="13"/>
      <c r="T734" s="13"/>
      <c r="U734" s="13"/>
      <c r="V734" s="13"/>
      <c r="W734" s="13"/>
      <c r="X734" s="13"/>
      <c r="Y734" s="10"/>
      <c r="Z734" s="9"/>
      <c r="AA734" s="9"/>
      <c r="AB734" s="9"/>
      <c r="AC734" s="9"/>
      <c r="AD734" s="9"/>
      <c r="AE734" s="9"/>
      <c r="AF734" s="9"/>
      <c r="AG734" s="9"/>
      <c r="AH734" s="9"/>
      <c r="AI734" s="9"/>
    </row>
    <row r="735" spans="1:35" ht="15.75" customHeight="1" x14ac:dyDescent="0.25">
      <c r="A735" s="10"/>
      <c r="B735" s="13"/>
      <c r="C735" s="13"/>
      <c r="D735" s="13"/>
      <c r="E735" s="13"/>
      <c r="F735" s="13"/>
      <c r="G735" s="13"/>
      <c r="H735" s="13"/>
      <c r="T735" s="13"/>
      <c r="U735" s="13"/>
      <c r="V735" s="13"/>
      <c r="W735" s="13"/>
      <c r="X735" s="13"/>
      <c r="Y735" s="10"/>
      <c r="Z735" s="9"/>
      <c r="AA735" s="9"/>
      <c r="AB735" s="9"/>
      <c r="AC735" s="9"/>
      <c r="AD735" s="9"/>
      <c r="AE735" s="9"/>
      <c r="AF735" s="9"/>
      <c r="AG735" s="9"/>
      <c r="AH735" s="9"/>
      <c r="AI735" s="9"/>
    </row>
    <row r="736" spans="1:35" ht="15.75" customHeight="1" x14ac:dyDescent="0.25">
      <c r="A736" s="10"/>
      <c r="B736" s="13"/>
      <c r="C736" s="13"/>
      <c r="D736" s="13"/>
      <c r="E736" s="13"/>
      <c r="F736" s="13"/>
      <c r="G736" s="13"/>
      <c r="H736" s="13"/>
      <c r="T736" s="13"/>
      <c r="U736" s="13"/>
      <c r="V736" s="13"/>
      <c r="W736" s="13"/>
      <c r="X736" s="13"/>
      <c r="Y736" s="10"/>
      <c r="Z736" s="9"/>
      <c r="AA736" s="9"/>
      <c r="AB736" s="9"/>
      <c r="AC736" s="9"/>
      <c r="AD736" s="9"/>
      <c r="AE736" s="9"/>
      <c r="AF736" s="9"/>
      <c r="AG736" s="9"/>
      <c r="AH736" s="9"/>
      <c r="AI736" s="9"/>
    </row>
    <row r="737" spans="1:35" ht="15.75" customHeight="1" x14ac:dyDescent="0.25">
      <c r="A737" s="10"/>
      <c r="B737" s="13"/>
      <c r="C737" s="13"/>
      <c r="D737" s="13"/>
      <c r="E737" s="13"/>
      <c r="F737" s="13"/>
      <c r="G737" s="13"/>
      <c r="H737" s="13"/>
      <c r="T737" s="13"/>
      <c r="U737" s="13"/>
      <c r="V737" s="13"/>
      <c r="W737" s="13"/>
      <c r="X737" s="13"/>
      <c r="Y737" s="10"/>
      <c r="Z737" s="9"/>
      <c r="AA737" s="9"/>
      <c r="AB737" s="9"/>
      <c r="AC737" s="9"/>
      <c r="AD737" s="9"/>
      <c r="AE737" s="9"/>
      <c r="AF737" s="9"/>
      <c r="AG737" s="9"/>
      <c r="AH737" s="9"/>
      <c r="AI737" s="9"/>
    </row>
    <row r="738" spans="1:35" ht="15.75" customHeight="1" x14ac:dyDescent="0.25">
      <c r="A738" s="10"/>
      <c r="B738" s="13"/>
      <c r="C738" s="13"/>
      <c r="D738" s="13"/>
      <c r="E738" s="13"/>
      <c r="F738" s="13"/>
      <c r="G738" s="13"/>
      <c r="H738" s="13"/>
      <c r="T738" s="13"/>
      <c r="U738" s="13"/>
      <c r="V738" s="13"/>
      <c r="W738" s="13"/>
      <c r="X738" s="13"/>
      <c r="Y738" s="10"/>
      <c r="Z738" s="9"/>
      <c r="AA738" s="9"/>
      <c r="AB738" s="9"/>
      <c r="AC738" s="9"/>
      <c r="AD738" s="9"/>
      <c r="AE738" s="9"/>
      <c r="AF738" s="9"/>
      <c r="AG738" s="9"/>
      <c r="AH738" s="9"/>
      <c r="AI738" s="9"/>
    </row>
    <row r="739" spans="1:35" ht="15.75" customHeight="1" x14ac:dyDescent="0.25">
      <c r="A739" s="10"/>
      <c r="B739" s="13"/>
      <c r="C739" s="13"/>
      <c r="D739" s="13"/>
      <c r="E739" s="13"/>
      <c r="F739" s="13"/>
      <c r="G739" s="13"/>
      <c r="H739" s="13"/>
      <c r="T739" s="13"/>
      <c r="U739" s="13"/>
      <c r="V739" s="13"/>
      <c r="W739" s="13"/>
      <c r="X739" s="13"/>
      <c r="Y739" s="10"/>
      <c r="Z739" s="9"/>
      <c r="AA739" s="9"/>
      <c r="AB739" s="9"/>
      <c r="AC739" s="9"/>
      <c r="AD739" s="9"/>
      <c r="AE739" s="9"/>
      <c r="AF739" s="9"/>
      <c r="AG739" s="9"/>
      <c r="AH739" s="9"/>
      <c r="AI739" s="9"/>
    </row>
    <row r="740" spans="1:35" ht="15.75" customHeight="1" x14ac:dyDescent="0.25">
      <c r="A740" s="10"/>
      <c r="B740" s="13"/>
      <c r="C740" s="13"/>
      <c r="D740" s="13"/>
      <c r="E740" s="13"/>
      <c r="F740" s="13"/>
      <c r="G740" s="13"/>
      <c r="H740" s="13"/>
      <c r="T740" s="13"/>
      <c r="U740" s="13"/>
      <c r="V740" s="13"/>
      <c r="W740" s="13"/>
      <c r="X740" s="13"/>
      <c r="Y740" s="10"/>
      <c r="Z740" s="9"/>
      <c r="AA740" s="9"/>
      <c r="AB740" s="9"/>
      <c r="AC740" s="9"/>
      <c r="AD740" s="9"/>
      <c r="AE740" s="9"/>
      <c r="AF740" s="9"/>
      <c r="AG740" s="9"/>
      <c r="AH740" s="9"/>
      <c r="AI740" s="9"/>
    </row>
    <row r="741" spans="1:35" ht="15.75" customHeight="1" x14ac:dyDescent="0.25">
      <c r="A741" s="10"/>
      <c r="B741" s="13"/>
      <c r="C741" s="13"/>
      <c r="D741" s="13"/>
      <c r="E741" s="13"/>
      <c r="F741" s="13"/>
      <c r="G741" s="13"/>
      <c r="H741" s="13"/>
      <c r="T741" s="13"/>
      <c r="U741" s="13"/>
      <c r="V741" s="13"/>
      <c r="W741" s="13"/>
      <c r="X741" s="13"/>
      <c r="Y741" s="10"/>
      <c r="Z741" s="9"/>
      <c r="AA741" s="9"/>
      <c r="AB741" s="9"/>
      <c r="AC741" s="9"/>
      <c r="AD741" s="9"/>
      <c r="AE741" s="9"/>
      <c r="AF741" s="9"/>
      <c r="AG741" s="9"/>
      <c r="AH741" s="9"/>
      <c r="AI741" s="9"/>
    </row>
    <row r="742" spans="1:35" ht="15.75" customHeight="1" x14ac:dyDescent="0.25">
      <c r="A742" s="10"/>
      <c r="B742" s="13"/>
      <c r="C742" s="13"/>
      <c r="D742" s="13"/>
      <c r="E742" s="13"/>
      <c r="F742" s="13"/>
      <c r="G742" s="13"/>
      <c r="H742" s="13"/>
      <c r="T742" s="13"/>
      <c r="U742" s="13"/>
      <c r="V742" s="13"/>
      <c r="W742" s="13"/>
      <c r="X742" s="13"/>
      <c r="Y742" s="10"/>
      <c r="Z742" s="9"/>
      <c r="AA742" s="9"/>
      <c r="AB742" s="9"/>
      <c r="AC742" s="9"/>
      <c r="AD742" s="9"/>
      <c r="AE742" s="9"/>
      <c r="AF742" s="9"/>
      <c r="AG742" s="9"/>
      <c r="AH742" s="9"/>
      <c r="AI742" s="9"/>
    </row>
    <row r="743" spans="1:35" ht="15.75" customHeight="1" x14ac:dyDescent="0.25">
      <c r="A743" s="10"/>
      <c r="B743" s="13"/>
      <c r="C743" s="13"/>
      <c r="D743" s="13"/>
      <c r="E743" s="13"/>
      <c r="F743" s="13"/>
      <c r="G743" s="13"/>
      <c r="H743" s="13"/>
      <c r="T743" s="13"/>
      <c r="U743" s="13"/>
      <c r="V743" s="13"/>
      <c r="W743" s="13"/>
      <c r="X743" s="13"/>
      <c r="Y743" s="10"/>
      <c r="Z743" s="9"/>
      <c r="AA743" s="9"/>
      <c r="AB743" s="9"/>
      <c r="AC743" s="9"/>
      <c r="AD743" s="9"/>
      <c r="AE743" s="9"/>
      <c r="AF743" s="9"/>
      <c r="AG743" s="9"/>
      <c r="AH743" s="9"/>
      <c r="AI743" s="9"/>
    </row>
    <row r="744" spans="1:35" ht="15.75" customHeight="1" x14ac:dyDescent="0.25">
      <c r="A744" s="10"/>
      <c r="B744" s="13"/>
      <c r="C744" s="13"/>
      <c r="D744" s="13"/>
      <c r="E744" s="13"/>
      <c r="F744" s="13"/>
      <c r="G744" s="13"/>
      <c r="H744" s="13"/>
      <c r="T744" s="13"/>
      <c r="U744" s="13"/>
      <c r="V744" s="13"/>
      <c r="W744" s="13"/>
      <c r="X744" s="13"/>
      <c r="Y744" s="10"/>
      <c r="Z744" s="9"/>
      <c r="AA744" s="9"/>
      <c r="AB744" s="9"/>
      <c r="AC744" s="9"/>
      <c r="AD744" s="9"/>
      <c r="AE744" s="9"/>
      <c r="AF744" s="9"/>
      <c r="AG744" s="9"/>
      <c r="AH744" s="9"/>
      <c r="AI744" s="9"/>
    </row>
    <row r="745" spans="1:35" ht="15.75" customHeight="1" x14ac:dyDescent="0.25">
      <c r="A745" s="10"/>
      <c r="B745" s="13"/>
      <c r="C745" s="13"/>
      <c r="D745" s="13"/>
      <c r="E745" s="13"/>
      <c r="F745" s="13"/>
      <c r="G745" s="13"/>
      <c r="H745" s="13"/>
      <c r="T745" s="13"/>
      <c r="U745" s="13"/>
      <c r="V745" s="13"/>
      <c r="W745" s="13"/>
      <c r="X745" s="13"/>
      <c r="Y745" s="10"/>
      <c r="Z745" s="9"/>
      <c r="AA745" s="9"/>
      <c r="AB745" s="9"/>
      <c r="AC745" s="9"/>
      <c r="AD745" s="9"/>
      <c r="AE745" s="9"/>
      <c r="AF745" s="9"/>
      <c r="AG745" s="9"/>
      <c r="AH745" s="9"/>
      <c r="AI745" s="9"/>
    </row>
    <row r="746" spans="1:35" ht="15.75" customHeight="1" x14ac:dyDescent="0.25">
      <c r="A746" s="10"/>
      <c r="B746" s="13"/>
      <c r="C746" s="13"/>
      <c r="D746" s="13"/>
      <c r="E746" s="13"/>
      <c r="F746" s="13"/>
      <c r="G746" s="13"/>
      <c r="H746" s="13"/>
      <c r="T746" s="13"/>
      <c r="U746" s="13"/>
      <c r="V746" s="13"/>
      <c r="W746" s="13"/>
      <c r="X746" s="13"/>
      <c r="Y746" s="10"/>
      <c r="Z746" s="9"/>
      <c r="AA746" s="9"/>
      <c r="AB746" s="9"/>
      <c r="AC746" s="9"/>
      <c r="AD746" s="9"/>
      <c r="AE746" s="9"/>
      <c r="AF746" s="9"/>
      <c r="AG746" s="9"/>
      <c r="AH746" s="9"/>
      <c r="AI746" s="9"/>
    </row>
    <row r="747" spans="1:35" ht="15.75" customHeight="1" x14ac:dyDescent="0.25">
      <c r="A747" s="10"/>
      <c r="B747" s="13"/>
      <c r="C747" s="13"/>
      <c r="D747" s="13"/>
      <c r="E747" s="13"/>
      <c r="F747" s="13"/>
      <c r="G747" s="13"/>
      <c r="H747" s="13"/>
      <c r="T747" s="13"/>
      <c r="U747" s="13"/>
      <c r="V747" s="13"/>
      <c r="W747" s="13"/>
      <c r="X747" s="13"/>
      <c r="Y747" s="10"/>
      <c r="Z747" s="9"/>
      <c r="AA747" s="9"/>
      <c r="AB747" s="9"/>
      <c r="AC747" s="9"/>
      <c r="AD747" s="9"/>
      <c r="AE747" s="9"/>
      <c r="AF747" s="9"/>
      <c r="AG747" s="9"/>
      <c r="AH747" s="9"/>
      <c r="AI747" s="9"/>
    </row>
    <row r="748" spans="1:35" ht="15.75" customHeight="1" x14ac:dyDescent="0.25">
      <c r="A748" s="10"/>
      <c r="B748" s="13"/>
      <c r="C748" s="13"/>
      <c r="D748" s="13"/>
      <c r="E748" s="13"/>
      <c r="F748" s="13"/>
      <c r="G748" s="13"/>
      <c r="H748" s="13"/>
      <c r="T748" s="13"/>
      <c r="U748" s="13"/>
      <c r="V748" s="13"/>
      <c r="W748" s="13"/>
      <c r="X748" s="13"/>
      <c r="Y748" s="10"/>
      <c r="Z748" s="9"/>
      <c r="AA748" s="9"/>
      <c r="AB748" s="9"/>
      <c r="AC748" s="9"/>
      <c r="AD748" s="9"/>
      <c r="AE748" s="9"/>
      <c r="AF748" s="9"/>
      <c r="AG748" s="9"/>
      <c r="AH748" s="9"/>
      <c r="AI748" s="9"/>
    </row>
    <row r="749" spans="1:35" ht="15.75" customHeight="1" x14ac:dyDescent="0.25">
      <c r="A749" s="10"/>
      <c r="B749" s="13"/>
      <c r="C749" s="13"/>
      <c r="D749" s="13"/>
      <c r="E749" s="13"/>
      <c r="F749" s="13"/>
      <c r="G749" s="13"/>
      <c r="H749" s="13"/>
      <c r="T749" s="13"/>
      <c r="U749" s="13"/>
      <c r="V749" s="13"/>
      <c r="W749" s="13"/>
      <c r="X749" s="13"/>
      <c r="Y749" s="10"/>
      <c r="Z749" s="9"/>
      <c r="AA749" s="9"/>
      <c r="AB749" s="9"/>
      <c r="AC749" s="9"/>
      <c r="AD749" s="9"/>
      <c r="AE749" s="9"/>
      <c r="AF749" s="9"/>
      <c r="AG749" s="9"/>
      <c r="AH749" s="9"/>
      <c r="AI749" s="9"/>
    </row>
    <row r="750" spans="1:35" ht="15.75" customHeight="1" x14ac:dyDescent="0.25">
      <c r="A750" s="10"/>
      <c r="B750" s="13"/>
      <c r="C750" s="13"/>
      <c r="D750" s="13"/>
      <c r="E750" s="13"/>
      <c r="F750" s="13"/>
      <c r="G750" s="13"/>
      <c r="H750" s="13"/>
      <c r="T750" s="13"/>
      <c r="U750" s="13"/>
      <c r="V750" s="13"/>
      <c r="W750" s="13"/>
      <c r="X750" s="13"/>
      <c r="Y750" s="10"/>
      <c r="Z750" s="9"/>
      <c r="AA750" s="9"/>
      <c r="AB750" s="9"/>
      <c r="AC750" s="9"/>
      <c r="AD750" s="9"/>
      <c r="AE750" s="9"/>
      <c r="AF750" s="9"/>
      <c r="AG750" s="9"/>
      <c r="AH750" s="9"/>
      <c r="AI750" s="9"/>
    </row>
    <row r="751" spans="1:35" ht="15.75" customHeight="1" x14ac:dyDescent="0.25">
      <c r="A751" s="10"/>
      <c r="B751" s="13"/>
      <c r="C751" s="13"/>
      <c r="D751" s="13"/>
      <c r="E751" s="13"/>
      <c r="F751" s="13"/>
      <c r="G751" s="13"/>
      <c r="H751" s="13"/>
      <c r="T751" s="13"/>
      <c r="U751" s="13"/>
      <c r="V751" s="13"/>
      <c r="W751" s="13"/>
      <c r="X751" s="13"/>
      <c r="Y751" s="10"/>
      <c r="Z751" s="9"/>
      <c r="AA751" s="9"/>
      <c r="AB751" s="9"/>
      <c r="AC751" s="9"/>
      <c r="AD751" s="9"/>
      <c r="AE751" s="9"/>
      <c r="AF751" s="9"/>
      <c r="AG751" s="9"/>
      <c r="AH751" s="9"/>
      <c r="AI751" s="9"/>
    </row>
    <row r="752" spans="1:35" ht="15.75" customHeight="1" x14ac:dyDescent="0.25">
      <c r="A752" s="10"/>
      <c r="B752" s="13"/>
      <c r="C752" s="13"/>
      <c r="D752" s="13"/>
      <c r="E752" s="13"/>
      <c r="F752" s="13"/>
      <c r="G752" s="13"/>
      <c r="H752" s="13"/>
      <c r="T752" s="13"/>
      <c r="U752" s="13"/>
      <c r="V752" s="13"/>
      <c r="W752" s="13"/>
      <c r="X752" s="13"/>
      <c r="Y752" s="10"/>
      <c r="Z752" s="9"/>
      <c r="AA752" s="9"/>
      <c r="AB752" s="9"/>
      <c r="AC752" s="9"/>
      <c r="AD752" s="9"/>
      <c r="AE752" s="9"/>
      <c r="AF752" s="9"/>
      <c r="AG752" s="9"/>
      <c r="AH752" s="9"/>
      <c r="AI752" s="9"/>
    </row>
    <row r="753" spans="1:35" ht="15.75" customHeight="1" x14ac:dyDescent="0.25">
      <c r="A753" s="10"/>
      <c r="B753" s="13"/>
      <c r="C753" s="13"/>
      <c r="D753" s="13"/>
      <c r="E753" s="13"/>
      <c r="F753" s="13"/>
      <c r="G753" s="13"/>
      <c r="H753" s="13"/>
      <c r="T753" s="13"/>
      <c r="U753" s="13"/>
      <c r="V753" s="13"/>
      <c r="W753" s="13"/>
      <c r="X753" s="13"/>
      <c r="Y753" s="10"/>
      <c r="Z753" s="9"/>
      <c r="AA753" s="9"/>
      <c r="AB753" s="9"/>
      <c r="AC753" s="9"/>
      <c r="AD753" s="9"/>
      <c r="AE753" s="9"/>
      <c r="AF753" s="9"/>
      <c r="AG753" s="9"/>
      <c r="AH753" s="9"/>
      <c r="AI753" s="9"/>
    </row>
    <row r="754" spans="1:35" ht="15.75" customHeight="1" x14ac:dyDescent="0.25">
      <c r="A754" s="10"/>
      <c r="B754" s="13"/>
      <c r="C754" s="13"/>
      <c r="D754" s="13"/>
      <c r="E754" s="13"/>
      <c r="F754" s="13"/>
      <c r="G754" s="13"/>
      <c r="H754" s="13"/>
      <c r="T754" s="13"/>
      <c r="U754" s="13"/>
      <c r="V754" s="13"/>
      <c r="W754" s="13"/>
      <c r="X754" s="13"/>
      <c r="Y754" s="10"/>
      <c r="Z754" s="9"/>
      <c r="AA754" s="9"/>
      <c r="AB754" s="9"/>
      <c r="AC754" s="9"/>
      <c r="AD754" s="9"/>
      <c r="AE754" s="9"/>
      <c r="AF754" s="9"/>
      <c r="AG754" s="9"/>
      <c r="AH754" s="9"/>
      <c r="AI754" s="9"/>
    </row>
    <row r="755" spans="1:35" ht="15.75" customHeight="1" x14ac:dyDescent="0.25">
      <c r="A755" s="10"/>
      <c r="B755" s="13"/>
      <c r="C755" s="13"/>
      <c r="D755" s="13"/>
      <c r="E755" s="13"/>
      <c r="F755" s="13"/>
      <c r="G755" s="13"/>
      <c r="H755" s="13"/>
      <c r="T755" s="13"/>
      <c r="U755" s="13"/>
      <c r="V755" s="13"/>
      <c r="W755" s="13"/>
      <c r="X755" s="13"/>
      <c r="Y755" s="10"/>
      <c r="Z755" s="9"/>
      <c r="AA755" s="9"/>
      <c r="AB755" s="9"/>
      <c r="AC755" s="9"/>
      <c r="AD755" s="9"/>
      <c r="AE755" s="9"/>
      <c r="AF755" s="9"/>
      <c r="AG755" s="9"/>
      <c r="AH755" s="9"/>
      <c r="AI755" s="9"/>
    </row>
    <row r="756" spans="1:35" ht="15.75" customHeight="1" x14ac:dyDescent="0.25">
      <c r="A756" s="10"/>
      <c r="B756" s="13"/>
      <c r="C756" s="13"/>
      <c r="D756" s="13"/>
      <c r="E756" s="13"/>
      <c r="F756" s="13"/>
      <c r="G756" s="13"/>
      <c r="H756" s="13"/>
      <c r="T756" s="13"/>
      <c r="U756" s="13"/>
      <c r="V756" s="13"/>
      <c r="W756" s="13"/>
      <c r="X756" s="13"/>
      <c r="Y756" s="10"/>
      <c r="Z756" s="9"/>
      <c r="AA756" s="9"/>
      <c r="AB756" s="9"/>
      <c r="AC756" s="9"/>
      <c r="AD756" s="9"/>
      <c r="AE756" s="9"/>
      <c r="AF756" s="9"/>
      <c r="AG756" s="9"/>
      <c r="AH756" s="9"/>
      <c r="AI756" s="9"/>
    </row>
    <row r="757" spans="1:35" ht="15.75" customHeight="1" x14ac:dyDescent="0.25">
      <c r="A757" s="10"/>
      <c r="B757" s="13"/>
      <c r="C757" s="13"/>
      <c r="D757" s="13"/>
      <c r="E757" s="13"/>
      <c r="F757" s="13"/>
      <c r="G757" s="13"/>
      <c r="H757" s="13"/>
      <c r="T757" s="13"/>
      <c r="U757" s="13"/>
      <c r="V757" s="13"/>
      <c r="W757" s="13"/>
      <c r="X757" s="13"/>
      <c r="Y757" s="10"/>
      <c r="Z757" s="9"/>
      <c r="AA757" s="9"/>
      <c r="AB757" s="9"/>
      <c r="AC757" s="9"/>
      <c r="AD757" s="9"/>
      <c r="AE757" s="9"/>
      <c r="AF757" s="9"/>
      <c r="AG757" s="9"/>
      <c r="AH757" s="9"/>
      <c r="AI757" s="9"/>
    </row>
    <row r="758" spans="1:35" ht="15.75" customHeight="1" x14ac:dyDescent="0.25">
      <c r="A758" s="10"/>
      <c r="B758" s="13"/>
      <c r="C758" s="13"/>
      <c r="D758" s="13"/>
      <c r="E758" s="13"/>
      <c r="F758" s="13"/>
      <c r="G758" s="13"/>
      <c r="H758" s="13"/>
      <c r="T758" s="13"/>
      <c r="U758" s="13"/>
      <c r="V758" s="13"/>
      <c r="W758" s="13"/>
      <c r="X758" s="13"/>
      <c r="Y758" s="10"/>
      <c r="Z758" s="9"/>
      <c r="AA758" s="9"/>
      <c r="AB758" s="9"/>
      <c r="AC758" s="9"/>
      <c r="AD758" s="9"/>
      <c r="AE758" s="9"/>
      <c r="AF758" s="9"/>
      <c r="AG758" s="9"/>
      <c r="AH758" s="9"/>
      <c r="AI758" s="9"/>
    </row>
    <row r="759" spans="1:35" ht="15.75" customHeight="1" x14ac:dyDescent="0.25">
      <c r="A759" s="10"/>
      <c r="B759" s="13"/>
      <c r="C759" s="13"/>
      <c r="D759" s="13"/>
      <c r="E759" s="13"/>
      <c r="F759" s="13"/>
      <c r="G759" s="13"/>
      <c r="H759" s="13"/>
      <c r="T759" s="13"/>
      <c r="U759" s="13"/>
      <c r="V759" s="13"/>
      <c r="W759" s="13"/>
      <c r="X759" s="13"/>
      <c r="Y759" s="10"/>
      <c r="Z759" s="9"/>
      <c r="AA759" s="9"/>
      <c r="AB759" s="9"/>
      <c r="AC759" s="9"/>
      <c r="AD759" s="9"/>
      <c r="AE759" s="9"/>
      <c r="AF759" s="9"/>
      <c r="AG759" s="9"/>
      <c r="AH759" s="9"/>
      <c r="AI759" s="9"/>
    </row>
    <row r="760" spans="1:35" ht="15.75" customHeight="1" x14ac:dyDescent="0.25">
      <c r="A760" s="10"/>
      <c r="B760" s="13"/>
      <c r="C760" s="13"/>
      <c r="D760" s="13"/>
      <c r="E760" s="13"/>
      <c r="F760" s="13"/>
      <c r="G760" s="13"/>
      <c r="H760" s="13"/>
      <c r="T760" s="13"/>
      <c r="U760" s="13"/>
      <c r="V760" s="13"/>
      <c r="W760" s="13"/>
      <c r="X760" s="13"/>
      <c r="Y760" s="10"/>
      <c r="Z760" s="9"/>
      <c r="AA760" s="9"/>
      <c r="AB760" s="9"/>
      <c r="AC760" s="9"/>
      <c r="AD760" s="9"/>
      <c r="AE760" s="9"/>
      <c r="AF760" s="9"/>
      <c r="AG760" s="9"/>
      <c r="AH760" s="9"/>
      <c r="AI760" s="9"/>
    </row>
    <row r="761" spans="1:35" ht="15.75" customHeight="1" x14ac:dyDescent="0.25">
      <c r="A761" s="10"/>
      <c r="B761" s="13"/>
      <c r="C761" s="13"/>
      <c r="D761" s="13"/>
      <c r="E761" s="13"/>
      <c r="F761" s="13"/>
      <c r="G761" s="13"/>
      <c r="H761" s="13"/>
      <c r="T761" s="13"/>
      <c r="U761" s="13"/>
      <c r="V761" s="13"/>
      <c r="W761" s="13"/>
      <c r="X761" s="13"/>
      <c r="Y761" s="10"/>
      <c r="Z761" s="9"/>
      <c r="AA761" s="9"/>
      <c r="AB761" s="9"/>
      <c r="AC761" s="9"/>
      <c r="AD761" s="9"/>
      <c r="AE761" s="9"/>
      <c r="AF761" s="9"/>
      <c r="AG761" s="9"/>
      <c r="AH761" s="9"/>
      <c r="AI761" s="9"/>
    </row>
    <row r="762" spans="1:35" ht="15.75" customHeight="1" x14ac:dyDescent="0.25">
      <c r="A762" s="10"/>
      <c r="B762" s="13"/>
      <c r="C762" s="13"/>
      <c r="D762" s="13"/>
      <c r="E762" s="13"/>
      <c r="F762" s="13"/>
      <c r="G762" s="13"/>
      <c r="H762" s="13"/>
      <c r="T762" s="13"/>
      <c r="U762" s="13"/>
      <c r="V762" s="13"/>
      <c r="W762" s="13"/>
      <c r="X762" s="13"/>
      <c r="Y762" s="10"/>
      <c r="Z762" s="9"/>
      <c r="AA762" s="9"/>
      <c r="AB762" s="9"/>
      <c r="AC762" s="9"/>
      <c r="AD762" s="9"/>
      <c r="AE762" s="9"/>
      <c r="AF762" s="9"/>
      <c r="AG762" s="9"/>
      <c r="AH762" s="9"/>
      <c r="AI762" s="9"/>
    </row>
    <row r="763" spans="1:35" ht="15.75" customHeight="1" x14ac:dyDescent="0.25">
      <c r="A763" s="10"/>
      <c r="B763" s="13"/>
      <c r="C763" s="13"/>
      <c r="D763" s="13"/>
      <c r="E763" s="13"/>
      <c r="F763" s="13"/>
      <c r="G763" s="13"/>
      <c r="H763" s="13"/>
      <c r="T763" s="13"/>
      <c r="U763" s="13"/>
      <c r="V763" s="13"/>
      <c r="W763" s="13"/>
      <c r="X763" s="13"/>
      <c r="Y763" s="10"/>
      <c r="Z763" s="9"/>
      <c r="AA763" s="9"/>
      <c r="AB763" s="9"/>
      <c r="AC763" s="9"/>
      <c r="AD763" s="9"/>
      <c r="AE763" s="9"/>
      <c r="AF763" s="9"/>
      <c r="AG763" s="9"/>
      <c r="AH763" s="9"/>
      <c r="AI763" s="9"/>
    </row>
    <row r="764" spans="1:35" ht="15.75" customHeight="1" x14ac:dyDescent="0.25">
      <c r="A764" s="10"/>
      <c r="B764" s="13"/>
      <c r="C764" s="13"/>
      <c r="D764" s="13"/>
      <c r="E764" s="13"/>
      <c r="F764" s="13"/>
      <c r="G764" s="13"/>
      <c r="H764" s="13"/>
      <c r="T764" s="13"/>
      <c r="U764" s="13"/>
      <c r="V764" s="13"/>
      <c r="W764" s="13"/>
      <c r="X764" s="13"/>
      <c r="Y764" s="10"/>
      <c r="Z764" s="9"/>
      <c r="AA764" s="9"/>
      <c r="AB764" s="9"/>
      <c r="AC764" s="9"/>
      <c r="AD764" s="9"/>
      <c r="AE764" s="9"/>
      <c r="AF764" s="9"/>
      <c r="AG764" s="9"/>
      <c r="AH764" s="9"/>
      <c r="AI764" s="9"/>
    </row>
    <row r="765" spans="1:35" ht="15.75" customHeight="1" x14ac:dyDescent="0.25">
      <c r="A765" s="10"/>
      <c r="B765" s="13"/>
      <c r="C765" s="13"/>
      <c r="D765" s="13"/>
      <c r="E765" s="13"/>
      <c r="F765" s="13"/>
      <c r="G765" s="13"/>
      <c r="H765" s="13"/>
      <c r="T765" s="13"/>
      <c r="U765" s="13"/>
      <c r="V765" s="13"/>
      <c r="W765" s="13"/>
      <c r="X765" s="13"/>
      <c r="Y765" s="10"/>
      <c r="Z765" s="9"/>
      <c r="AA765" s="9"/>
      <c r="AB765" s="9"/>
      <c r="AC765" s="9"/>
      <c r="AD765" s="9"/>
      <c r="AE765" s="9"/>
      <c r="AF765" s="9"/>
      <c r="AG765" s="9"/>
      <c r="AH765" s="9"/>
      <c r="AI765" s="9"/>
    </row>
    <row r="766" spans="1:35" ht="15.75" customHeight="1" x14ac:dyDescent="0.25">
      <c r="A766" s="10"/>
      <c r="B766" s="13"/>
      <c r="C766" s="13"/>
      <c r="D766" s="13"/>
      <c r="E766" s="13"/>
      <c r="F766" s="13"/>
      <c r="G766" s="13"/>
      <c r="H766" s="13"/>
      <c r="T766" s="13"/>
      <c r="U766" s="13"/>
      <c r="V766" s="13"/>
      <c r="W766" s="13"/>
      <c r="X766" s="13"/>
      <c r="Y766" s="10"/>
      <c r="Z766" s="9"/>
      <c r="AA766" s="9"/>
      <c r="AB766" s="9"/>
      <c r="AC766" s="9"/>
      <c r="AD766" s="9"/>
      <c r="AE766" s="9"/>
      <c r="AF766" s="9"/>
      <c r="AG766" s="9"/>
      <c r="AH766" s="9"/>
      <c r="AI766" s="9"/>
    </row>
    <row r="767" spans="1:35" ht="15.75" customHeight="1" x14ac:dyDescent="0.25">
      <c r="A767" s="10"/>
      <c r="B767" s="13"/>
      <c r="C767" s="13"/>
      <c r="D767" s="13"/>
      <c r="E767" s="13"/>
      <c r="F767" s="13"/>
      <c r="G767" s="13"/>
      <c r="H767" s="13"/>
      <c r="T767" s="13"/>
      <c r="U767" s="13"/>
      <c r="V767" s="13"/>
      <c r="W767" s="13"/>
      <c r="X767" s="13"/>
      <c r="Y767" s="10"/>
      <c r="Z767" s="9"/>
      <c r="AA767" s="9"/>
      <c r="AB767" s="9"/>
      <c r="AC767" s="9"/>
      <c r="AD767" s="9"/>
      <c r="AE767" s="9"/>
      <c r="AF767" s="9"/>
      <c r="AG767" s="9"/>
      <c r="AH767" s="9"/>
      <c r="AI767" s="9"/>
    </row>
    <row r="768" spans="1:35" ht="15.75" customHeight="1" x14ac:dyDescent="0.25">
      <c r="A768" s="10"/>
      <c r="B768" s="13"/>
      <c r="C768" s="13"/>
      <c r="D768" s="13"/>
      <c r="E768" s="13"/>
      <c r="F768" s="13"/>
      <c r="G768" s="13"/>
      <c r="H768" s="13"/>
      <c r="T768" s="13"/>
      <c r="U768" s="13"/>
      <c r="V768" s="13"/>
      <c r="W768" s="13"/>
      <c r="X768" s="13"/>
      <c r="Y768" s="10"/>
      <c r="Z768" s="9"/>
      <c r="AA768" s="9"/>
      <c r="AB768" s="9"/>
      <c r="AC768" s="9"/>
      <c r="AD768" s="9"/>
      <c r="AE768" s="9"/>
      <c r="AF768" s="9"/>
      <c r="AG768" s="9"/>
      <c r="AH768" s="9"/>
      <c r="AI768" s="9"/>
    </row>
    <row r="769" spans="1:35" ht="15.75" customHeight="1" x14ac:dyDescent="0.25">
      <c r="A769" s="10"/>
      <c r="B769" s="13"/>
      <c r="C769" s="13"/>
      <c r="D769" s="13"/>
      <c r="E769" s="13"/>
      <c r="F769" s="13"/>
      <c r="G769" s="13"/>
      <c r="H769" s="13"/>
      <c r="T769" s="13"/>
      <c r="U769" s="13"/>
      <c r="V769" s="13"/>
      <c r="W769" s="13"/>
      <c r="X769" s="13"/>
      <c r="Y769" s="10"/>
      <c r="Z769" s="9"/>
      <c r="AA769" s="9"/>
      <c r="AB769" s="9"/>
      <c r="AC769" s="9"/>
      <c r="AD769" s="9"/>
      <c r="AE769" s="9"/>
      <c r="AF769" s="9"/>
      <c r="AG769" s="9"/>
      <c r="AH769" s="9"/>
      <c r="AI769" s="9"/>
    </row>
    <row r="770" spans="1:35" ht="15.75" customHeight="1" x14ac:dyDescent="0.25">
      <c r="A770" s="10"/>
      <c r="B770" s="13"/>
      <c r="C770" s="13"/>
      <c r="D770" s="13"/>
      <c r="E770" s="13"/>
      <c r="F770" s="13"/>
      <c r="G770" s="13"/>
      <c r="H770" s="13"/>
      <c r="T770" s="13"/>
      <c r="U770" s="13"/>
      <c r="V770" s="13"/>
      <c r="W770" s="13"/>
      <c r="X770" s="13"/>
      <c r="Y770" s="10"/>
      <c r="Z770" s="9"/>
      <c r="AA770" s="9"/>
      <c r="AB770" s="9"/>
      <c r="AC770" s="9"/>
      <c r="AD770" s="9"/>
      <c r="AE770" s="9"/>
      <c r="AF770" s="9"/>
      <c r="AG770" s="9"/>
      <c r="AH770" s="9"/>
      <c r="AI770" s="9"/>
    </row>
    <row r="771" spans="1:35" ht="15.75" customHeight="1" x14ac:dyDescent="0.25">
      <c r="A771" s="10"/>
      <c r="B771" s="13"/>
      <c r="C771" s="13"/>
      <c r="D771" s="13"/>
      <c r="E771" s="13"/>
      <c r="F771" s="13"/>
      <c r="G771" s="13"/>
      <c r="H771" s="13"/>
      <c r="T771" s="13"/>
      <c r="U771" s="13"/>
      <c r="V771" s="13"/>
      <c r="W771" s="13"/>
      <c r="X771" s="13"/>
      <c r="Y771" s="10"/>
      <c r="Z771" s="9"/>
      <c r="AA771" s="9"/>
      <c r="AB771" s="9"/>
      <c r="AC771" s="9"/>
      <c r="AD771" s="9"/>
      <c r="AE771" s="9"/>
      <c r="AF771" s="9"/>
      <c r="AG771" s="9"/>
      <c r="AH771" s="9"/>
      <c r="AI771" s="9"/>
    </row>
    <row r="772" spans="1:35" ht="15.75" customHeight="1" x14ac:dyDescent="0.25">
      <c r="A772" s="10"/>
      <c r="B772" s="13"/>
      <c r="C772" s="13"/>
      <c r="D772" s="13"/>
      <c r="E772" s="13"/>
      <c r="F772" s="13"/>
      <c r="G772" s="13"/>
      <c r="H772" s="13"/>
      <c r="T772" s="13"/>
      <c r="U772" s="13"/>
      <c r="V772" s="13"/>
      <c r="W772" s="13"/>
      <c r="X772" s="13"/>
      <c r="Y772" s="10"/>
      <c r="Z772" s="9"/>
      <c r="AA772" s="9"/>
      <c r="AB772" s="9"/>
      <c r="AC772" s="9"/>
      <c r="AD772" s="9"/>
      <c r="AE772" s="9"/>
      <c r="AF772" s="9"/>
      <c r="AG772" s="9"/>
      <c r="AH772" s="9"/>
      <c r="AI772" s="9"/>
    </row>
    <row r="773" spans="1:35" ht="15.75" customHeight="1" x14ac:dyDescent="0.25">
      <c r="A773" s="10"/>
      <c r="B773" s="13"/>
      <c r="C773" s="13"/>
      <c r="D773" s="13"/>
      <c r="E773" s="13"/>
      <c r="F773" s="13"/>
      <c r="G773" s="13"/>
      <c r="H773" s="13"/>
      <c r="T773" s="13"/>
      <c r="U773" s="13"/>
      <c r="V773" s="13"/>
      <c r="W773" s="13"/>
      <c r="X773" s="13"/>
      <c r="Y773" s="10"/>
      <c r="Z773" s="9"/>
      <c r="AA773" s="9"/>
      <c r="AB773" s="9"/>
      <c r="AC773" s="9"/>
      <c r="AD773" s="9"/>
      <c r="AE773" s="9"/>
      <c r="AF773" s="9"/>
      <c r="AG773" s="9"/>
      <c r="AH773" s="9"/>
      <c r="AI773" s="9"/>
    </row>
    <row r="774" spans="1:35" ht="15.75" customHeight="1" x14ac:dyDescent="0.25">
      <c r="A774" s="10"/>
      <c r="B774" s="13"/>
      <c r="C774" s="13"/>
      <c r="D774" s="13"/>
      <c r="E774" s="13"/>
      <c r="F774" s="13"/>
      <c r="G774" s="13"/>
      <c r="H774" s="13"/>
      <c r="T774" s="13"/>
      <c r="U774" s="13"/>
      <c r="V774" s="13"/>
      <c r="W774" s="13"/>
      <c r="X774" s="13"/>
      <c r="Y774" s="10"/>
      <c r="Z774" s="9"/>
      <c r="AA774" s="9"/>
      <c r="AB774" s="9"/>
      <c r="AC774" s="9"/>
      <c r="AD774" s="9"/>
      <c r="AE774" s="9"/>
      <c r="AF774" s="9"/>
      <c r="AG774" s="9"/>
      <c r="AH774" s="9"/>
      <c r="AI774" s="9"/>
    </row>
    <row r="775" spans="1:35" ht="15.75" customHeight="1" x14ac:dyDescent="0.25">
      <c r="A775" s="10"/>
      <c r="B775" s="13"/>
      <c r="C775" s="13"/>
      <c r="D775" s="13"/>
      <c r="E775" s="13"/>
      <c r="F775" s="13"/>
      <c r="G775" s="13"/>
      <c r="H775" s="13"/>
      <c r="T775" s="13"/>
      <c r="U775" s="13"/>
      <c r="V775" s="13"/>
      <c r="W775" s="13"/>
      <c r="X775" s="13"/>
      <c r="Y775" s="10"/>
      <c r="Z775" s="9"/>
      <c r="AA775" s="9"/>
      <c r="AB775" s="9"/>
      <c r="AC775" s="9"/>
      <c r="AD775" s="9"/>
      <c r="AE775" s="9"/>
      <c r="AF775" s="9"/>
      <c r="AG775" s="9"/>
      <c r="AH775" s="9"/>
      <c r="AI775" s="9"/>
    </row>
    <row r="776" spans="1:35" ht="15.75" customHeight="1" x14ac:dyDescent="0.25">
      <c r="A776" s="10"/>
      <c r="B776" s="13"/>
      <c r="C776" s="13"/>
      <c r="D776" s="13"/>
      <c r="E776" s="13"/>
      <c r="F776" s="13"/>
      <c r="G776" s="13"/>
      <c r="H776" s="13"/>
      <c r="T776" s="13"/>
      <c r="U776" s="13"/>
      <c r="V776" s="13"/>
      <c r="W776" s="13"/>
      <c r="X776" s="13"/>
      <c r="Y776" s="10"/>
      <c r="Z776" s="9"/>
      <c r="AA776" s="9"/>
      <c r="AB776" s="9"/>
      <c r="AC776" s="9"/>
      <c r="AD776" s="9"/>
      <c r="AE776" s="9"/>
      <c r="AF776" s="9"/>
      <c r="AG776" s="9"/>
      <c r="AH776" s="9"/>
      <c r="AI776" s="9"/>
    </row>
    <row r="777" spans="1:35" ht="15.75" customHeight="1" x14ac:dyDescent="0.25">
      <c r="A777" s="10"/>
      <c r="B777" s="13"/>
      <c r="C777" s="13"/>
      <c r="D777" s="13"/>
      <c r="E777" s="13"/>
      <c r="F777" s="13"/>
      <c r="G777" s="13"/>
      <c r="H777" s="13"/>
      <c r="T777" s="13"/>
      <c r="U777" s="13"/>
      <c r="V777" s="13"/>
      <c r="W777" s="13"/>
      <c r="X777" s="13"/>
      <c r="Y777" s="10"/>
      <c r="Z777" s="9"/>
      <c r="AA777" s="9"/>
      <c r="AB777" s="9"/>
      <c r="AC777" s="9"/>
      <c r="AD777" s="9"/>
      <c r="AE777" s="9"/>
      <c r="AF777" s="9"/>
      <c r="AG777" s="9"/>
      <c r="AH777" s="9"/>
      <c r="AI777" s="9"/>
    </row>
    <row r="778" spans="1:35" ht="15.75" customHeight="1" x14ac:dyDescent="0.25">
      <c r="A778" s="10"/>
      <c r="B778" s="13"/>
      <c r="C778" s="13"/>
      <c r="D778" s="13"/>
      <c r="E778" s="13"/>
      <c r="F778" s="13"/>
      <c r="G778" s="13"/>
      <c r="H778" s="13"/>
      <c r="T778" s="13"/>
      <c r="U778" s="13"/>
      <c r="V778" s="13"/>
      <c r="W778" s="13"/>
      <c r="X778" s="13"/>
      <c r="Y778" s="10"/>
      <c r="Z778" s="9"/>
      <c r="AA778" s="9"/>
      <c r="AB778" s="9"/>
      <c r="AC778" s="9"/>
      <c r="AD778" s="9"/>
      <c r="AE778" s="9"/>
      <c r="AF778" s="9"/>
      <c r="AG778" s="9"/>
      <c r="AH778" s="9"/>
      <c r="AI778" s="9"/>
    </row>
    <row r="779" spans="1:35" ht="15.75" customHeight="1" x14ac:dyDescent="0.25">
      <c r="A779" s="10"/>
      <c r="B779" s="13"/>
      <c r="C779" s="13"/>
      <c r="D779" s="13"/>
      <c r="E779" s="13"/>
      <c r="F779" s="13"/>
      <c r="G779" s="13"/>
      <c r="H779" s="13"/>
      <c r="T779" s="13"/>
      <c r="U779" s="13"/>
      <c r="V779" s="13"/>
      <c r="W779" s="13"/>
      <c r="X779" s="13"/>
      <c r="Y779" s="10"/>
      <c r="Z779" s="9"/>
      <c r="AA779" s="9"/>
      <c r="AB779" s="9"/>
      <c r="AC779" s="9"/>
      <c r="AD779" s="9"/>
      <c r="AE779" s="9"/>
      <c r="AF779" s="9"/>
      <c r="AG779" s="9"/>
      <c r="AH779" s="9"/>
      <c r="AI779" s="9"/>
    </row>
    <row r="780" spans="1:35" ht="15.75" customHeight="1" x14ac:dyDescent="0.25">
      <c r="A780" s="10"/>
      <c r="B780" s="13"/>
      <c r="C780" s="13"/>
      <c r="D780" s="13"/>
      <c r="E780" s="13"/>
      <c r="F780" s="13"/>
      <c r="G780" s="13"/>
      <c r="H780" s="13"/>
      <c r="T780" s="13"/>
      <c r="U780" s="13"/>
      <c r="V780" s="13"/>
      <c r="W780" s="13"/>
      <c r="X780" s="13"/>
      <c r="Y780" s="10"/>
      <c r="Z780" s="9"/>
      <c r="AA780" s="9"/>
      <c r="AB780" s="9"/>
      <c r="AC780" s="9"/>
      <c r="AD780" s="9"/>
      <c r="AE780" s="9"/>
      <c r="AF780" s="9"/>
      <c r="AG780" s="9"/>
      <c r="AH780" s="9"/>
      <c r="AI780" s="9"/>
    </row>
    <row r="781" spans="1:35" ht="15.75" customHeight="1" x14ac:dyDescent="0.25">
      <c r="A781" s="10"/>
      <c r="B781" s="13"/>
      <c r="C781" s="13"/>
      <c r="D781" s="13"/>
      <c r="E781" s="13"/>
      <c r="F781" s="13"/>
      <c r="G781" s="13"/>
      <c r="H781" s="13"/>
      <c r="T781" s="13"/>
      <c r="U781" s="13"/>
      <c r="V781" s="13"/>
      <c r="W781" s="13"/>
      <c r="X781" s="13"/>
      <c r="Y781" s="10"/>
      <c r="Z781" s="9"/>
      <c r="AA781" s="9"/>
      <c r="AB781" s="9"/>
      <c r="AC781" s="9"/>
      <c r="AD781" s="9"/>
      <c r="AE781" s="9"/>
      <c r="AF781" s="9"/>
      <c r="AG781" s="9"/>
      <c r="AH781" s="9"/>
      <c r="AI781" s="9"/>
    </row>
    <row r="782" spans="1:35" ht="15.75" customHeight="1" x14ac:dyDescent="0.25">
      <c r="A782" s="10"/>
      <c r="B782" s="13"/>
      <c r="C782" s="13"/>
      <c r="D782" s="13"/>
      <c r="E782" s="13"/>
      <c r="F782" s="13"/>
      <c r="G782" s="13"/>
      <c r="H782" s="13"/>
      <c r="T782" s="13"/>
      <c r="U782" s="13"/>
      <c r="V782" s="13"/>
      <c r="W782" s="13"/>
      <c r="X782" s="13"/>
      <c r="Y782" s="10"/>
      <c r="Z782" s="9"/>
      <c r="AA782" s="9"/>
      <c r="AB782" s="9"/>
      <c r="AC782" s="9"/>
      <c r="AD782" s="9"/>
      <c r="AE782" s="9"/>
      <c r="AF782" s="9"/>
      <c r="AG782" s="9"/>
      <c r="AH782" s="9"/>
      <c r="AI782" s="9"/>
    </row>
    <row r="783" spans="1:35" ht="15.75" customHeight="1" x14ac:dyDescent="0.25">
      <c r="A783" s="10"/>
      <c r="B783" s="13"/>
      <c r="C783" s="13"/>
      <c r="D783" s="13"/>
      <c r="E783" s="13"/>
      <c r="F783" s="13"/>
      <c r="G783" s="13"/>
      <c r="H783" s="13"/>
      <c r="T783" s="13"/>
      <c r="U783" s="13"/>
      <c r="V783" s="13"/>
      <c r="W783" s="13"/>
      <c r="X783" s="13"/>
      <c r="Y783" s="10"/>
      <c r="Z783" s="9"/>
      <c r="AA783" s="9"/>
      <c r="AB783" s="9"/>
      <c r="AC783" s="9"/>
      <c r="AD783" s="9"/>
      <c r="AE783" s="9"/>
      <c r="AF783" s="9"/>
      <c r="AG783" s="9"/>
      <c r="AH783" s="9"/>
      <c r="AI783" s="9"/>
    </row>
    <row r="784" spans="1:35" ht="15.75" customHeight="1" x14ac:dyDescent="0.25">
      <c r="A784" s="10"/>
      <c r="B784" s="13"/>
      <c r="C784" s="13"/>
      <c r="D784" s="13"/>
      <c r="E784" s="13"/>
      <c r="F784" s="13"/>
      <c r="G784" s="13"/>
      <c r="H784" s="13"/>
      <c r="T784" s="13"/>
      <c r="U784" s="13"/>
      <c r="V784" s="13"/>
      <c r="W784" s="13"/>
      <c r="X784" s="13"/>
      <c r="Y784" s="10"/>
      <c r="Z784" s="9"/>
      <c r="AA784" s="9"/>
      <c r="AB784" s="9"/>
      <c r="AC784" s="9"/>
      <c r="AD784" s="9"/>
      <c r="AE784" s="9"/>
      <c r="AF784" s="9"/>
      <c r="AG784" s="9"/>
      <c r="AH784" s="9"/>
      <c r="AI784" s="9"/>
    </row>
    <row r="785" spans="1:35" ht="15.75" customHeight="1" x14ac:dyDescent="0.25">
      <c r="A785" s="10"/>
      <c r="B785" s="13"/>
      <c r="C785" s="13"/>
      <c r="D785" s="13"/>
      <c r="E785" s="13"/>
      <c r="F785" s="13"/>
      <c r="G785" s="13"/>
      <c r="H785" s="13"/>
      <c r="T785" s="13"/>
      <c r="U785" s="13"/>
      <c r="V785" s="13"/>
      <c r="W785" s="13"/>
      <c r="X785" s="13"/>
      <c r="Y785" s="10"/>
      <c r="Z785" s="9"/>
      <c r="AA785" s="9"/>
      <c r="AB785" s="9"/>
      <c r="AC785" s="9"/>
      <c r="AD785" s="9"/>
      <c r="AE785" s="9"/>
      <c r="AF785" s="9"/>
      <c r="AG785" s="9"/>
      <c r="AH785" s="9"/>
      <c r="AI785" s="9"/>
    </row>
    <row r="786" spans="1:35" ht="15.75" customHeight="1" x14ac:dyDescent="0.25">
      <c r="A786" s="10"/>
      <c r="B786" s="13"/>
      <c r="C786" s="13"/>
      <c r="D786" s="13"/>
      <c r="E786" s="13"/>
      <c r="F786" s="13"/>
      <c r="G786" s="13"/>
      <c r="H786" s="13"/>
      <c r="T786" s="13"/>
      <c r="U786" s="13"/>
      <c r="V786" s="13"/>
      <c r="W786" s="13"/>
      <c r="X786" s="13"/>
      <c r="Y786" s="10"/>
      <c r="Z786" s="9"/>
      <c r="AA786" s="9"/>
      <c r="AB786" s="9"/>
      <c r="AC786" s="9"/>
      <c r="AD786" s="9"/>
      <c r="AE786" s="9"/>
      <c r="AF786" s="9"/>
      <c r="AG786" s="9"/>
      <c r="AH786" s="9"/>
      <c r="AI786" s="9"/>
    </row>
    <row r="787" spans="1:35" ht="15.75" customHeight="1" x14ac:dyDescent="0.25">
      <c r="A787" s="10"/>
      <c r="B787" s="13"/>
      <c r="C787" s="13"/>
      <c r="D787" s="13"/>
      <c r="E787" s="13"/>
      <c r="F787" s="13"/>
      <c r="G787" s="13"/>
      <c r="H787" s="13"/>
      <c r="T787" s="13"/>
      <c r="U787" s="13"/>
      <c r="V787" s="13"/>
      <c r="W787" s="13"/>
      <c r="X787" s="13"/>
      <c r="Y787" s="10"/>
      <c r="Z787" s="9"/>
      <c r="AA787" s="9"/>
      <c r="AB787" s="9"/>
      <c r="AC787" s="9"/>
      <c r="AD787" s="9"/>
      <c r="AE787" s="9"/>
      <c r="AF787" s="9"/>
      <c r="AG787" s="9"/>
      <c r="AH787" s="9"/>
      <c r="AI787" s="9"/>
    </row>
    <row r="788" spans="1:35" ht="15.75" customHeight="1" x14ac:dyDescent="0.25">
      <c r="A788" s="10"/>
      <c r="B788" s="13"/>
      <c r="C788" s="13"/>
      <c r="D788" s="13"/>
      <c r="E788" s="13"/>
      <c r="F788" s="13"/>
      <c r="G788" s="13"/>
      <c r="H788" s="13"/>
      <c r="T788" s="13"/>
      <c r="U788" s="13"/>
      <c r="V788" s="13"/>
      <c r="W788" s="13"/>
      <c r="X788" s="13"/>
      <c r="Y788" s="10"/>
      <c r="Z788" s="9"/>
      <c r="AA788" s="9"/>
      <c r="AB788" s="9"/>
      <c r="AC788" s="9"/>
      <c r="AD788" s="9"/>
      <c r="AE788" s="9"/>
      <c r="AF788" s="9"/>
      <c r="AG788" s="9"/>
      <c r="AH788" s="9"/>
      <c r="AI788" s="9"/>
    </row>
    <row r="789" spans="1:35" ht="15.75" customHeight="1" x14ac:dyDescent="0.25">
      <c r="A789" s="10"/>
      <c r="B789" s="13"/>
      <c r="C789" s="13"/>
      <c r="D789" s="13"/>
      <c r="E789" s="13"/>
      <c r="F789" s="13"/>
      <c r="G789" s="13"/>
      <c r="H789" s="13"/>
      <c r="T789" s="13"/>
      <c r="U789" s="13"/>
      <c r="V789" s="13"/>
      <c r="W789" s="13"/>
      <c r="X789" s="13"/>
      <c r="Y789" s="10"/>
      <c r="Z789" s="9"/>
      <c r="AA789" s="9"/>
      <c r="AB789" s="9"/>
      <c r="AC789" s="9"/>
      <c r="AD789" s="9"/>
      <c r="AE789" s="9"/>
      <c r="AF789" s="9"/>
      <c r="AG789" s="9"/>
      <c r="AH789" s="9"/>
      <c r="AI789" s="9"/>
    </row>
    <row r="790" spans="1:35" ht="15.75" customHeight="1" x14ac:dyDescent="0.25">
      <c r="A790" s="10"/>
      <c r="B790" s="13"/>
      <c r="C790" s="13"/>
      <c r="D790" s="13"/>
      <c r="E790" s="13"/>
      <c r="F790" s="13"/>
      <c r="G790" s="13"/>
      <c r="H790" s="13"/>
      <c r="T790" s="13"/>
      <c r="U790" s="13"/>
      <c r="V790" s="13"/>
      <c r="W790" s="13"/>
      <c r="X790" s="13"/>
      <c r="Y790" s="10"/>
      <c r="Z790" s="9"/>
      <c r="AA790" s="9"/>
      <c r="AB790" s="9"/>
      <c r="AC790" s="9"/>
      <c r="AD790" s="9"/>
      <c r="AE790" s="9"/>
      <c r="AF790" s="9"/>
      <c r="AG790" s="9"/>
      <c r="AH790" s="9"/>
      <c r="AI790" s="9"/>
    </row>
    <row r="791" spans="1:35" ht="15.75" customHeight="1" x14ac:dyDescent="0.25">
      <c r="A791" s="10"/>
      <c r="B791" s="13"/>
      <c r="C791" s="13"/>
      <c r="D791" s="13"/>
      <c r="E791" s="13"/>
      <c r="F791" s="13"/>
      <c r="G791" s="13"/>
      <c r="H791" s="13"/>
      <c r="T791" s="13"/>
      <c r="U791" s="13"/>
      <c r="V791" s="13"/>
      <c r="W791" s="13"/>
      <c r="X791" s="13"/>
      <c r="Y791" s="10"/>
      <c r="Z791" s="9"/>
      <c r="AA791" s="9"/>
      <c r="AB791" s="9"/>
      <c r="AC791" s="9"/>
      <c r="AD791" s="9"/>
      <c r="AE791" s="9"/>
      <c r="AF791" s="9"/>
      <c r="AG791" s="9"/>
      <c r="AH791" s="9"/>
      <c r="AI791" s="9"/>
    </row>
    <row r="792" spans="1:35" ht="15.75" customHeight="1" x14ac:dyDescent="0.25">
      <c r="A792" s="10"/>
      <c r="B792" s="13"/>
      <c r="C792" s="13"/>
      <c r="D792" s="13"/>
      <c r="E792" s="13"/>
      <c r="F792" s="13"/>
      <c r="G792" s="13"/>
      <c r="H792" s="13"/>
      <c r="T792" s="13"/>
      <c r="U792" s="13"/>
      <c r="V792" s="13"/>
      <c r="W792" s="13"/>
      <c r="X792" s="13"/>
      <c r="Y792" s="10"/>
      <c r="Z792" s="9"/>
      <c r="AA792" s="9"/>
      <c r="AB792" s="9"/>
      <c r="AC792" s="9"/>
      <c r="AD792" s="9"/>
      <c r="AE792" s="9"/>
      <c r="AF792" s="9"/>
      <c r="AG792" s="9"/>
      <c r="AH792" s="9"/>
      <c r="AI792" s="9"/>
    </row>
    <row r="793" spans="1:35" ht="15.75" customHeight="1" x14ac:dyDescent="0.25">
      <c r="A793" s="10"/>
      <c r="B793" s="13"/>
      <c r="C793" s="13"/>
      <c r="D793" s="13"/>
      <c r="E793" s="13"/>
      <c r="F793" s="13"/>
      <c r="G793" s="13"/>
      <c r="H793" s="13"/>
      <c r="T793" s="13"/>
      <c r="U793" s="13"/>
      <c r="V793" s="13"/>
      <c r="W793" s="13"/>
      <c r="X793" s="13"/>
      <c r="Y793" s="10"/>
      <c r="Z793" s="9"/>
      <c r="AA793" s="9"/>
      <c r="AB793" s="9"/>
      <c r="AC793" s="9"/>
      <c r="AD793" s="9"/>
      <c r="AE793" s="9"/>
      <c r="AF793" s="9"/>
      <c r="AG793" s="9"/>
      <c r="AH793" s="9"/>
      <c r="AI793" s="9"/>
    </row>
    <row r="794" spans="1:35" ht="15.75" customHeight="1" x14ac:dyDescent="0.25">
      <c r="A794" s="10"/>
      <c r="B794" s="13"/>
      <c r="C794" s="13"/>
      <c r="D794" s="13"/>
      <c r="E794" s="13"/>
      <c r="F794" s="13"/>
      <c r="G794" s="13"/>
      <c r="H794" s="13"/>
      <c r="T794" s="13"/>
      <c r="U794" s="13"/>
      <c r="V794" s="13"/>
      <c r="W794" s="13"/>
      <c r="X794" s="13"/>
      <c r="Y794" s="10"/>
      <c r="Z794" s="9"/>
      <c r="AA794" s="9"/>
      <c r="AB794" s="9"/>
      <c r="AC794" s="9"/>
      <c r="AD794" s="9"/>
      <c r="AE794" s="9"/>
      <c r="AF794" s="9"/>
      <c r="AG794" s="9"/>
      <c r="AH794" s="9"/>
      <c r="AI794" s="9"/>
    </row>
    <row r="795" spans="1:35" ht="15.75" customHeight="1" x14ac:dyDescent="0.25">
      <c r="A795" s="10"/>
      <c r="B795" s="13"/>
      <c r="C795" s="13"/>
      <c r="D795" s="13"/>
      <c r="E795" s="13"/>
      <c r="F795" s="13"/>
      <c r="G795" s="13"/>
      <c r="H795" s="13"/>
      <c r="T795" s="13"/>
      <c r="U795" s="13"/>
      <c r="V795" s="13"/>
      <c r="W795" s="13"/>
      <c r="X795" s="13"/>
      <c r="Y795" s="10"/>
      <c r="Z795" s="9"/>
      <c r="AA795" s="9"/>
      <c r="AB795" s="9"/>
      <c r="AC795" s="9"/>
      <c r="AD795" s="9"/>
      <c r="AE795" s="9"/>
      <c r="AF795" s="9"/>
      <c r="AG795" s="9"/>
      <c r="AH795" s="9"/>
      <c r="AI795" s="9"/>
    </row>
    <row r="796" spans="1:35" ht="15.75" customHeight="1" x14ac:dyDescent="0.25">
      <c r="A796" s="10"/>
      <c r="B796" s="13"/>
      <c r="C796" s="13"/>
      <c r="D796" s="13"/>
      <c r="E796" s="13"/>
      <c r="F796" s="13"/>
      <c r="G796" s="13"/>
      <c r="H796" s="13"/>
      <c r="T796" s="13"/>
      <c r="U796" s="13"/>
      <c r="V796" s="13"/>
      <c r="W796" s="13"/>
      <c r="X796" s="13"/>
      <c r="Y796" s="10"/>
      <c r="Z796" s="9"/>
      <c r="AA796" s="9"/>
      <c r="AB796" s="9"/>
      <c r="AC796" s="9"/>
      <c r="AD796" s="9"/>
      <c r="AE796" s="9"/>
      <c r="AF796" s="9"/>
      <c r="AG796" s="9"/>
      <c r="AH796" s="9"/>
      <c r="AI796" s="9"/>
    </row>
    <row r="797" spans="1:35" ht="15.75" customHeight="1" x14ac:dyDescent="0.25">
      <c r="A797" s="10"/>
      <c r="B797" s="13"/>
      <c r="C797" s="13"/>
      <c r="D797" s="13"/>
      <c r="E797" s="13"/>
      <c r="F797" s="13"/>
      <c r="G797" s="13"/>
      <c r="H797" s="13"/>
      <c r="T797" s="13"/>
      <c r="U797" s="13"/>
      <c r="V797" s="13"/>
      <c r="W797" s="13"/>
      <c r="X797" s="13"/>
      <c r="Y797" s="10"/>
      <c r="Z797" s="9"/>
      <c r="AA797" s="9"/>
      <c r="AB797" s="9"/>
      <c r="AC797" s="9"/>
      <c r="AD797" s="9"/>
      <c r="AE797" s="9"/>
      <c r="AF797" s="9"/>
      <c r="AG797" s="9"/>
      <c r="AH797" s="9"/>
      <c r="AI797" s="9"/>
    </row>
    <row r="798" spans="1:35" ht="15.75" customHeight="1" x14ac:dyDescent="0.25">
      <c r="A798" s="10"/>
      <c r="B798" s="13"/>
      <c r="C798" s="13"/>
      <c r="D798" s="13"/>
      <c r="E798" s="13"/>
      <c r="F798" s="13"/>
      <c r="G798" s="13"/>
      <c r="H798" s="13"/>
      <c r="T798" s="13"/>
      <c r="U798" s="13"/>
      <c r="V798" s="13"/>
      <c r="W798" s="13"/>
      <c r="X798" s="13"/>
      <c r="Y798" s="10"/>
      <c r="Z798" s="9"/>
      <c r="AA798" s="9"/>
      <c r="AB798" s="9"/>
      <c r="AC798" s="9"/>
      <c r="AD798" s="9"/>
      <c r="AE798" s="9"/>
      <c r="AF798" s="9"/>
      <c r="AG798" s="9"/>
      <c r="AH798" s="9"/>
      <c r="AI798" s="9"/>
    </row>
    <row r="799" spans="1:35" ht="15.75" customHeight="1" x14ac:dyDescent="0.25">
      <c r="A799" s="10"/>
      <c r="B799" s="13"/>
      <c r="C799" s="13"/>
      <c r="D799" s="13"/>
      <c r="E799" s="13"/>
      <c r="F799" s="13"/>
      <c r="G799" s="13"/>
      <c r="H799" s="13"/>
      <c r="T799" s="13"/>
      <c r="U799" s="13"/>
      <c r="V799" s="13"/>
      <c r="W799" s="13"/>
      <c r="X799" s="13"/>
      <c r="Y799" s="10"/>
      <c r="Z799" s="9"/>
      <c r="AA799" s="9"/>
      <c r="AB799" s="9"/>
      <c r="AC799" s="9"/>
      <c r="AD799" s="9"/>
      <c r="AE799" s="9"/>
      <c r="AF799" s="9"/>
      <c r="AG799" s="9"/>
      <c r="AH799" s="9"/>
      <c r="AI799" s="9"/>
    </row>
    <row r="800" spans="1:35" ht="15.75" customHeight="1" x14ac:dyDescent="0.25">
      <c r="A800" s="10"/>
      <c r="B800" s="13"/>
      <c r="C800" s="13"/>
      <c r="D800" s="13"/>
      <c r="E800" s="13"/>
      <c r="F800" s="13"/>
      <c r="G800" s="13"/>
      <c r="H800" s="13"/>
      <c r="T800" s="13"/>
      <c r="U800" s="13"/>
      <c r="V800" s="13"/>
      <c r="W800" s="13"/>
      <c r="X800" s="13"/>
      <c r="Y800" s="10"/>
      <c r="Z800" s="9"/>
      <c r="AA800" s="9"/>
      <c r="AB800" s="9"/>
      <c r="AC800" s="9"/>
      <c r="AD800" s="9"/>
      <c r="AE800" s="9"/>
      <c r="AF800" s="9"/>
      <c r="AG800" s="9"/>
      <c r="AH800" s="9"/>
      <c r="AI800" s="9"/>
    </row>
    <row r="801" spans="1:35" ht="15.75" customHeight="1" x14ac:dyDescent="0.25">
      <c r="A801" s="10"/>
      <c r="B801" s="13"/>
      <c r="C801" s="13"/>
      <c r="D801" s="13"/>
      <c r="E801" s="13"/>
      <c r="F801" s="13"/>
      <c r="G801" s="13"/>
      <c r="H801" s="13"/>
      <c r="T801" s="13"/>
      <c r="U801" s="13"/>
      <c r="V801" s="13"/>
      <c r="W801" s="13"/>
      <c r="X801" s="13"/>
      <c r="Y801" s="10"/>
      <c r="Z801" s="9"/>
      <c r="AA801" s="9"/>
      <c r="AB801" s="9"/>
      <c r="AC801" s="9"/>
      <c r="AD801" s="9"/>
      <c r="AE801" s="9"/>
      <c r="AF801" s="9"/>
      <c r="AG801" s="9"/>
      <c r="AH801" s="9"/>
      <c r="AI801" s="9"/>
    </row>
    <row r="802" spans="1:35" ht="15.75" customHeight="1" x14ac:dyDescent="0.25">
      <c r="A802" s="10"/>
      <c r="B802" s="13"/>
      <c r="C802" s="13"/>
      <c r="D802" s="13"/>
      <c r="E802" s="13"/>
      <c r="F802" s="13"/>
      <c r="G802" s="13"/>
      <c r="H802" s="13"/>
      <c r="T802" s="13"/>
      <c r="U802" s="13"/>
      <c r="V802" s="13"/>
      <c r="W802" s="13"/>
      <c r="X802" s="13"/>
      <c r="Y802" s="10"/>
      <c r="Z802" s="9"/>
      <c r="AA802" s="9"/>
      <c r="AB802" s="9"/>
      <c r="AC802" s="9"/>
      <c r="AD802" s="9"/>
      <c r="AE802" s="9"/>
      <c r="AF802" s="9"/>
      <c r="AG802" s="9"/>
      <c r="AH802" s="9"/>
      <c r="AI802" s="9"/>
    </row>
    <row r="803" spans="1:35" ht="15.75" customHeight="1" x14ac:dyDescent="0.25">
      <c r="A803" s="10"/>
      <c r="B803" s="13"/>
      <c r="C803" s="13"/>
      <c r="D803" s="13"/>
      <c r="E803" s="13"/>
      <c r="F803" s="13"/>
      <c r="G803" s="13"/>
      <c r="H803" s="13"/>
      <c r="T803" s="13"/>
      <c r="U803" s="13"/>
      <c r="V803" s="13"/>
      <c r="W803" s="13"/>
      <c r="X803" s="13"/>
      <c r="Y803" s="10"/>
      <c r="Z803" s="9"/>
      <c r="AA803" s="9"/>
      <c r="AB803" s="9"/>
      <c r="AC803" s="9"/>
      <c r="AD803" s="9"/>
      <c r="AE803" s="9"/>
      <c r="AF803" s="9"/>
      <c r="AG803" s="9"/>
      <c r="AH803" s="9"/>
      <c r="AI803" s="9"/>
    </row>
    <row r="804" spans="1:35" ht="15.75" customHeight="1" x14ac:dyDescent="0.25">
      <c r="A804" s="10"/>
      <c r="B804" s="13"/>
      <c r="C804" s="13"/>
      <c r="D804" s="13"/>
      <c r="E804" s="13"/>
      <c r="F804" s="13"/>
      <c r="G804" s="13"/>
      <c r="H804" s="13"/>
      <c r="T804" s="13"/>
      <c r="U804" s="13"/>
      <c r="V804" s="13"/>
      <c r="W804" s="13"/>
      <c r="X804" s="13"/>
      <c r="Y804" s="10"/>
      <c r="Z804" s="9"/>
      <c r="AA804" s="9"/>
      <c r="AB804" s="9"/>
      <c r="AC804" s="9"/>
      <c r="AD804" s="9"/>
      <c r="AE804" s="9"/>
      <c r="AF804" s="9"/>
      <c r="AG804" s="9"/>
      <c r="AH804" s="9"/>
      <c r="AI804" s="9"/>
    </row>
    <row r="805" spans="1:35" ht="15.75" customHeight="1" x14ac:dyDescent="0.25">
      <c r="A805" s="10"/>
      <c r="B805" s="13"/>
      <c r="C805" s="13"/>
      <c r="D805" s="13"/>
      <c r="E805" s="13"/>
      <c r="F805" s="13"/>
      <c r="G805" s="13"/>
      <c r="H805" s="13"/>
      <c r="T805" s="13"/>
      <c r="U805" s="13"/>
      <c r="V805" s="13"/>
      <c r="W805" s="13"/>
      <c r="X805" s="13"/>
      <c r="Y805" s="10"/>
      <c r="Z805" s="9"/>
      <c r="AA805" s="9"/>
      <c r="AB805" s="9"/>
      <c r="AC805" s="9"/>
      <c r="AD805" s="9"/>
      <c r="AE805" s="9"/>
      <c r="AF805" s="9"/>
      <c r="AG805" s="9"/>
      <c r="AH805" s="9"/>
      <c r="AI805" s="9"/>
    </row>
    <row r="806" spans="1:35" ht="15.75" customHeight="1" x14ac:dyDescent="0.25">
      <c r="A806" s="10"/>
      <c r="B806" s="13"/>
      <c r="C806" s="13"/>
      <c r="D806" s="13"/>
      <c r="E806" s="13"/>
      <c r="F806" s="13"/>
      <c r="G806" s="13"/>
      <c r="H806" s="13"/>
      <c r="T806" s="13"/>
      <c r="U806" s="13"/>
      <c r="V806" s="13"/>
      <c r="W806" s="13"/>
      <c r="X806" s="13"/>
      <c r="Y806" s="10"/>
      <c r="Z806" s="9"/>
      <c r="AA806" s="9"/>
      <c r="AB806" s="9"/>
      <c r="AC806" s="9"/>
      <c r="AD806" s="9"/>
      <c r="AE806" s="9"/>
      <c r="AF806" s="9"/>
      <c r="AG806" s="9"/>
      <c r="AH806" s="9"/>
      <c r="AI806" s="9"/>
    </row>
    <row r="807" spans="1:35" ht="15.75" customHeight="1" x14ac:dyDescent="0.25">
      <c r="A807" s="10"/>
      <c r="B807" s="13"/>
      <c r="C807" s="13"/>
      <c r="D807" s="13"/>
      <c r="E807" s="13"/>
      <c r="F807" s="13"/>
      <c r="G807" s="13"/>
      <c r="H807" s="13"/>
      <c r="T807" s="13"/>
      <c r="U807" s="13"/>
      <c r="V807" s="13"/>
      <c r="W807" s="13"/>
      <c r="X807" s="13"/>
      <c r="Y807" s="10"/>
      <c r="Z807" s="9"/>
      <c r="AA807" s="9"/>
      <c r="AB807" s="9"/>
      <c r="AC807" s="9"/>
      <c r="AD807" s="9"/>
      <c r="AE807" s="9"/>
      <c r="AF807" s="9"/>
      <c r="AG807" s="9"/>
      <c r="AH807" s="9"/>
      <c r="AI807" s="9"/>
    </row>
    <row r="808" spans="1:35" ht="15.75" customHeight="1" x14ac:dyDescent="0.25">
      <c r="A808" s="10"/>
      <c r="B808" s="13"/>
      <c r="C808" s="13"/>
      <c r="D808" s="13"/>
      <c r="E808" s="13"/>
      <c r="F808" s="13"/>
      <c r="G808" s="13"/>
      <c r="H808" s="13"/>
      <c r="T808" s="13"/>
      <c r="U808" s="13"/>
      <c r="V808" s="13"/>
      <c r="W808" s="13"/>
      <c r="X808" s="13"/>
      <c r="Y808" s="10"/>
      <c r="Z808" s="9"/>
      <c r="AA808" s="9"/>
      <c r="AB808" s="9"/>
      <c r="AC808" s="9"/>
      <c r="AD808" s="9"/>
      <c r="AE808" s="9"/>
      <c r="AF808" s="9"/>
      <c r="AG808" s="9"/>
      <c r="AH808" s="9"/>
      <c r="AI808" s="9"/>
    </row>
    <row r="809" spans="1:35" ht="15.75" customHeight="1" x14ac:dyDescent="0.25">
      <c r="A809" s="10"/>
      <c r="B809" s="13"/>
      <c r="C809" s="13"/>
      <c r="D809" s="13"/>
      <c r="E809" s="13"/>
      <c r="F809" s="13"/>
      <c r="G809" s="13"/>
      <c r="H809" s="13"/>
      <c r="T809" s="13"/>
      <c r="U809" s="13"/>
      <c r="V809" s="13"/>
      <c r="W809" s="13"/>
      <c r="X809" s="13"/>
      <c r="Y809" s="10"/>
      <c r="Z809" s="9"/>
      <c r="AA809" s="9"/>
      <c r="AB809" s="9"/>
      <c r="AC809" s="9"/>
      <c r="AD809" s="9"/>
      <c r="AE809" s="9"/>
      <c r="AF809" s="9"/>
      <c r="AG809" s="9"/>
      <c r="AH809" s="9"/>
      <c r="AI809" s="9"/>
    </row>
    <row r="810" spans="1:35" ht="15.75" customHeight="1" x14ac:dyDescent="0.25">
      <c r="A810" s="10"/>
      <c r="B810" s="13"/>
      <c r="C810" s="13"/>
      <c r="D810" s="13"/>
      <c r="E810" s="13"/>
      <c r="F810" s="13"/>
      <c r="G810" s="13"/>
      <c r="H810" s="13"/>
      <c r="T810" s="13"/>
      <c r="U810" s="13"/>
      <c r="V810" s="13"/>
      <c r="W810" s="13"/>
      <c r="X810" s="13"/>
      <c r="Y810" s="10"/>
      <c r="Z810" s="9"/>
      <c r="AA810" s="9"/>
      <c r="AB810" s="9"/>
      <c r="AC810" s="9"/>
      <c r="AD810" s="9"/>
      <c r="AE810" s="9"/>
      <c r="AF810" s="9"/>
      <c r="AG810" s="9"/>
      <c r="AH810" s="9"/>
      <c r="AI810" s="9"/>
    </row>
    <row r="811" spans="1:35" ht="15.75" customHeight="1" x14ac:dyDescent="0.25">
      <c r="A811" s="10"/>
      <c r="B811" s="13"/>
      <c r="C811" s="13"/>
      <c r="D811" s="13"/>
      <c r="E811" s="13"/>
      <c r="F811" s="13"/>
      <c r="G811" s="13"/>
      <c r="H811" s="13"/>
      <c r="T811" s="13"/>
      <c r="U811" s="13"/>
      <c r="V811" s="13"/>
      <c r="W811" s="13"/>
      <c r="X811" s="13"/>
      <c r="Y811" s="10"/>
      <c r="Z811" s="9"/>
      <c r="AA811" s="9"/>
      <c r="AB811" s="9"/>
      <c r="AC811" s="9"/>
      <c r="AD811" s="9"/>
      <c r="AE811" s="9"/>
      <c r="AF811" s="9"/>
      <c r="AG811" s="9"/>
      <c r="AH811" s="9"/>
      <c r="AI811" s="9"/>
    </row>
    <row r="812" spans="1:35" ht="15.75" customHeight="1" x14ac:dyDescent="0.25">
      <c r="A812" s="10"/>
      <c r="B812" s="13"/>
      <c r="C812" s="13"/>
      <c r="D812" s="13"/>
      <c r="E812" s="13"/>
      <c r="F812" s="13"/>
      <c r="G812" s="13"/>
      <c r="H812" s="13"/>
      <c r="T812" s="13"/>
      <c r="U812" s="13"/>
      <c r="V812" s="13"/>
      <c r="W812" s="13"/>
      <c r="X812" s="13"/>
      <c r="Y812" s="10"/>
      <c r="Z812" s="9"/>
      <c r="AA812" s="9"/>
      <c r="AB812" s="9"/>
      <c r="AC812" s="9"/>
      <c r="AD812" s="9"/>
      <c r="AE812" s="9"/>
      <c r="AF812" s="9"/>
      <c r="AG812" s="9"/>
      <c r="AH812" s="9"/>
      <c r="AI812" s="9"/>
    </row>
    <row r="813" spans="1:35" ht="15.75" customHeight="1" x14ac:dyDescent="0.25">
      <c r="A813" s="10"/>
      <c r="B813" s="13"/>
      <c r="C813" s="13"/>
      <c r="D813" s="13"/>
      <c r="E813" s="13"/>
      <c r="F813" s="13"/>
      <c r="G813" s="13"/>
      <c r="H813" s="13"/>
      <c r="T813" s="13"/>
      <c r="U813" s="13"/>
      <c r="V813" s="13"/>
      <c r="W813" s="13"/>
      <c r="X813" s="13"/>
      <c r="Y813" s="10"/>
      <c r="Z813" s="9"/>
      <c r="AA813" s="9"/>
      <c r="AB813" s="9"/>
      <c r="AC813" s="9"/>
      <c r="AD813" s="9"/>
      <c r="AE813" s="9"/>
      <c r="AF813" s="9"/>
      <c r="AG813" s="9"/>
      <c r="AH813" s="9"/>
      <c r="AI813" s="9"/>
    </row>
    <row r="814" spans="1:35" ht="15.75" customHeight="1" x14ac:dyDescent="0.25">
      <c r="A814" s="10"/>
      <c r="B814" s="13"/>
      <c r="C814" s="13"/>
      <c r="D814" s="13"/>
      <c r="E814" s="13"/>
      <c r="F814" s="13"/>
      <c r="G814" s="13"/>
      <c r="H814" s="13"/>
      <c r="T814" s="13"/>
      <c r="U814" s="13"/>
      <c r="V814" s="13"/>
      <c r="W814" s="13"/>
      <c r="X814" s="13"/>
      <c r="Y814" s="10"/>
      <c r="Z814" s="9"/>
      <c r="AA814" s="9"/>
      <c r="AB814" s="9"/>
      <c r="AC814" s="9"/>
      <c r="AD814" s="9"/>
      <c r="AE814" s="9"/>
      <c r="AF814" s="9"/>
      <c r="AG814" s="9"/>
      <c r="AH814" s="9"/>
      <c r="AI814" s="9"/>
    </row>
    <row r="815" spans="1:35" ht="15.75" customHeight="1" x14ac:dyDescent="0.25">
      <c r="A815" s="10"/>
      <c r="B815" s="13"/>
      <c r="C815" s="13"/>
      <c r="D815" s="13"/>
      <c r="E815" s="13"/>
      <c r="F815" s="13"/>
      <c r="G815" s="13"/>
      <c r="H815" s="13"/>
      <c r="T815" s="13"/>
      <c r="U815" s="13"/>
      <c r="V815" s="13"/>
      <c r="W815" s="13"/>
      <c r="X815" s="13"/>
      <c r="Y815" s="10"/>
      <c r="Z815" s="9"/>
      <c r="AA815" s="9"/>
      <c r="AB815" s="9"/>
      <c r="AC815" s="9"/>
      <c r="AD815" s="9"/>
      <c r="AE815" s="9"/>
      <c r="AF815" s="9"/>
      <c r="AG815" s="9"/>
      <c r="AH815" s="9"/>
      <c r="AI815" s="9"/>
    </row>
    <row r="816" spans="1:35" ht="15.75" customHeight="1" x14ac:dyDescent="0.25">
      <c r="A816" s="10"/>
      <c r="B816" s="13"/>
      <c r="C816" s="13"/>
      <c r="D816" s="13"/>
      <c r="E816" s="13"/>
      <c r="F816" s="13"/>
      <c r="G816" s="13"/>
      <c r="H816" s="13"/>
      <c r="T816" s="13"/>
      <c r="U816" s="13"/>
      <c r="V816" s="13"/>
      <c r="W816" s="13"/>
      <c r="X816" s="13"/>
      <c r="Y816" s="10"/>
      <c r="Z816" s="9"/>
      <c r="AA816" s="9"/>
      <c r="AB816" s="9"/>
      <c r="AC816" s="9"/>
      <c r="AD816" s="9"/>
      <c r="AE816" s="9"/>
      <c r="AF816" s="9"/>
      <c r="AG816" s="9"/>
      <c r="AH816" s="9"/>
      <c r="AI816" s="9"/>
    </row>
    <row r="817" spans="1:35" ht="15.75" customHeight="1" x14ac:dyDescent="0.25">
      <c r="A817" s="10"/>
      <c r="B817" s="13"/>
      <c r="C817" s="13"/>
      <c r="D817" s="13"/>
      <c r="E817" s="13"/>
      <c r="F817" s="13"/>
      <c r="G817" s="13"/>
      <c r="H817" s="13"/>
      <c r="T817" s="13"/>
      <c r="U817" s="13"/>
      <c r="V817" s="13"/>
      <c r="W817" s="13"/>
      <c r="X817" s="13"/>
      <c r="Y817" s="10"/>
      <c r="Z817" s="9"/>
      <c r="AA817" s="9"/>
      <c r="AB817" s="9"/>
      <c r="AC817" s="9"/>
      <c r="AD817" s="9"/>
      <c r="AE817" s="9"/>
      <c r="AF817" s="9"/>
      <c r="AG817" s="9"/>
      <c r="AH817" s="9"/>
      <c r="AI817" s="9"/>
    </row>
    <row r="818" spans="1:35" ht="15.75" customHeight="1" x14ac:dyDescent="0.25">
      <c r="A818" s="10"/>
      <c r="B818" s="13"/>
      <c r="C818" s="13"/>
      <c r="D818" s="13"/>
      <c r="E818" s="13"/>
      <c r="F818" s="13"/>
      <c r="G818" s="13"/>
      <c r="H818" s="13"/>
      <c r="T818" s="13"/>
      <c r="U818" s="13"/>
      <c r="V818" s="13"/>
      <c r="W818" s="13"/>
      <c r="X818" s="13"/>
      <c r="Y818" s="10"/>
      <c r="Z818" s="9"/>
      <c r="AA818" s="9"/>
      <c r="AB818" s="9"/>
      <c r="AC818" s="9"/>
      <c r="AD818" s="9"/>
      <c r="AE818" s="9"/>
      <c r="AF818" s="9"/>
      <c r="AG818" s="9"/>
      <c r="AH818" s="9"/>
      <c r="AI818" s="9"/>
    </row>
    <row r="819" spans="1:35" ht="15.75" customHeight="1" x14ac:dyDescent="0.25">
      <c r="A819" s="10"/>
      <c r="B819" s="13"/>
      <c r="C819" s="13"/>
      <c r="D819" s="13"/>
      <c r="E819" s="13"/>
      <c r="F819" s="13"/>
      <c r="G819" s="13"/>
      <c r="H819" s="13"/>
      <c r="T819" s="13"/>
      <c r="U819" s="13"/>
      <c r="V819" s="13"/>
      <c r="W819" s="13"/>
      <c r="X819" s="13"/>
      <c r="Y819" s="10"/>
      <c r="Z819" s="9"/>
      <c r="AA819" s="9"/>
      <c r="AB819" s="9"/>
      <c r="AC819" s="9"/>
      <c r="AD819" s="9"/>
      <c r="AE819" s="9"/>
      <c r="AF819" s="9"/>
      <c r="AG819" s="9"/>
      <c r="AH819" s="9"/>
      <c r="AI819" s="9"/>
    </row>
    <row r="820" spans="1:35" ht="15.75" customHeight="1" x14ac:dyDescent="0.25">
      <c r="A820" s="10"/>
      <c r="B820" s="13"/>
      <c r="C820" s="13"/>
      <c r="D820" s="13"/>
      <c r="E820" s="13"/>
      <c r="F820" s="13"/>
      <c r="G820" s="13"/>
      <c r="H820" s="13"/>
      <c r="T820" s="13"/>
      <c r="U820" s="13"/>
      <c r="V820" s="13"/>
      <c r="W820" s="13"/>
      <c r="X820" s="13"/>
      <c r="Y820" s="10"/>
      <c r="Z820" s="9"/>
      <c r="AA820" s="9"/>
      <c r="AB820" s="9"/>
      <c r="AC820" s="9"/>
      <c r="AD820" s="9"/>
      <c r="AE820" s="9"/>
      <c r="AF820" s="9"/>
      <c r="AG820" s="9"/>
      <c r="AH820" s="9"/>
      <c r="AI820" s="9"/>
    </row>
    <row r="821" spans="1:35" ht="15.75" customHeight="1" x14ac:dyDescent="0.25">
      <c r="A821" s="10"/>
      <c r="B821" s="13"/>
      <c r="C821" s="13"/>
      <c r="D821" s="13"/>
      <c r="E821" s="13"/>
      <c r="F821" s="13"/>
      <c r="G821" s="13"/>
      <c r="H821" s="13"/>
      <c r="T821" s="13"/>
      <c r="U821" s="13"/>
      <c r="V821" s="13"/>
      <c r="W821" s="13"/>
      <c r="X821" s="13"/>
      <c r="Y821" s="10"/>
      <c r="Z821" s="9"/>
      <c r="AA821" s="9"/>
      <c r="AB821" s="9"/>
      <c r="AC821" s="9"/>
      <c r="AD821" s="9"/>
      <c r="AE821" s="9"/>
      <c r="AF821" s="9"/>
      <c r="AG821" s="9"/>
      <c r="AH821" s="9"/>
      <c r="AI821" s="9"/>
    </row>
    <row r="822" spans="1:35" ht="15.75" customHeight="1" x14ac:dyDescent="0.25">
      <c r="A822" s="10"/>
      <c r="B822" s="13"/>
      <c r="C822" s="13"/>
      <c r="D822" s="13"/>
      <c r="E822" s="13"/>
      <c r="F822" s="13"/>
      <c r="G822" s="13"/>
      <c r="H822" s="13"/>
      <c r="T822" s="13"/>
      <c r="U822" s="13"/>
      <c r="V822" s="13"/>
      <c r="W822" s="13"/>
      <c r="X822" s="13"/>
      <c r="Y822" s="10"/>
      <c r="Z822" s="9"/>
      <c r="AA822" s="9"/>
      <c r="AB822" s="9"/>
      <c r="AC822" s="9"/>
      <c r="AD822" s="9"/>
      <c r="AE822" s="9"/>
      <c r="AF822" s="9"/>
      <c r="AG822" s="9"/>
      <c r="AH822" s="9"/>
      <c r="AI822" s="9"/>
    </row>
    <row r="823" spans="1:35" ht="15.75" customHeight="1" x14ac:dyDescent="0.25">
      <c r="A823" s="10"/>
      <c r="B823" s="13"/>
      <c r="C823" s="13"/>
      <c r="D823" s="13"/>
      <c r="E823" s="13"/>
      <c r="F823" s="13"/>
      <c r="G823" s="13"/>
      <c r="H823" s="13"/>
      <c r="T823" s="13"/>
      <c r="U823" s="13"/>
      <c r="V823" s="13"/>
      <c r="W823" s="13"/>
      <c r="X823" s="13"/>
      <c r="Y823" s="10"/>
      <c r="Z823" s="9"/>
      <c r="AA823" s="9"/>
      <c r="AB823" s="9"/>
      <c r="AC823" s="9"/>
      <c r="AD823" s="9"/>
      <c r="AE823" s="9"/>
      <c r="AF823" s="9"/>
      <c r="AG823" s="9"/>
      <c r="AH823" s="9"/>
      <c r="AI823" s="9"/>
    </row>
    <row r="824" spans="1:35" ht="15.75" customHeight="1" x14ac:dyDescent="0.25">
      <c r="A824" s="10"/>
      <c r="B824" s="13"/>
      <c r="C824" s="13"/>
      <c r="D824" s="13"/>
      <c r="E824" s="13"/>
      <c r="F824" s="13"/>
      <c r="G824" s="13"/>
      <c r="H824" s="13"/>
      <c r="T824" s="13"/>
      <c r="U824" s="13"/>
      <c r="V824" s="13"/>
      <c r="W824" s="13"/>
      <c r="X824" s="13"/>
      <c r="Y824" s="10"/>
      <c r="Z824" s="9"/>
      <c r="AA824" s="9"/>
      <c r="AB824" s="9"/>
      <c r="AC824" s="9"/>
      <c r="AD824" s="9"/>
      <c r="AE824" s="9"/>
      <c r="AF824" s="9"/>
      <c r="AG824" s="9"/>
      <c r="AH824" s="9"/>
      <c r="AI824" s="9"/>
    </row>
    <row r="825" spans="1:35" ht="15.75" customHeight="1" x14ac:dyDescent="0.25">
      <c r="A825" s="10"/>
      <c r="B825" s="13"/>
      <c r="C825" s="13"/>
      <c r="D825" s="13"/>
      <c r="E825" s="13"/>
      <c r="F825" s="13"/>
      <c r="G825" s="13"/>
      <c r="H825" s="13"/>
      <c r="T825" s="13"/>
      <c r="U825" s="13"/>
      <c r="V825" s="13"/>
      <c r="W825" s="13"/>
      <c r="X825" s="13"/>
      <c r="Y825" s="10"/>
      <c r="Z825" s="9"/>
      <c r="AA825" s="9"/>
      <c r="AB825" s="9"/>
      <c r="AC825" s="9"/>
      <c r="AD825" s="9"/>
      <c r="AE825" s="9"/>
      <c r="AF825" s="9"/>
      <c r="AG825" s="9"/>
      <c r="AH825" s="9"/>
      <c r="AI825" s="9"/>
    </row>
    <row r="826" spans="1:35" ht="15.75" customHeight="1" x14ac:dyDescent="0.25">
      <c r="A826" s="10"/>
      <c r="B826" s="13"/>
      <c r="C826" s="13"/>
      <c r="D826" s="13"/>
      <c r="E826" s="13"/>
      <c r="F826" s="13"/>
      <c r="G826" s="13"/>
      <c r="H826" s="13"/>
      <c r="T826" s="13"/>
      <c r="U826" s="13"/>
      <c r="V826" s="13"/>
      <c r="W826" s="13"/>
      <c r="X826" s="13"/>
      <c r="Y826" s="10"/>
      <c r="Z826" s="9"/>
      <c r="AA826" s="9"/>
      <c r="AB826" s="9"/>
      <c r="AC826" s="9"/>
      <c r="AD826" s="9"/>
      <c r="AE826" s="9"/>
      <c r="AF826" s="9"/>
      <c r="AG826" s="9"/>
      <c r="AH826" s="9"/>
      <c r="AI826" s="9"/>
    </row>
    <row r="827" spans="1:35" ht="15.75" customHeight="1" x14ac:dyDescent="0.25">
      <c r="A827" s="10"/>
      <c r="B827" s="13"/>
      <c r="C827" s="13"/>
      <c r="D827" s="13"/>
      <c r="E827" s="13"/>
      <c r="F827" s="13"/>
      <c r="G827" s="13"/>
      <c r="H827" s="13"/>
      <c r="T827" s="13"/>
      <c r="U827" s="13"/>
      <c r="V827" s="13"/>
      <c r="W827" s="13"/>
      <c r="X827" s="13"/>
      <c r="Y827" s="10"/>
      <c r="Z827" s="9"/>
      <c r="AA827" s="9"/>
      <c r="AB827" s="9"/>
      <c r="AC827" s="9"/>
      <c r="AD827" s="9"/>
      <c r="AE827" s="9"/>
      <c r="AF827" s="9"/>
      <c r="AG827" s="9"/>
      <c r="AH827" s="9"/>
      <c r="AI827" s="9"/>
    </row>
    <row r="828" spans="1:35" ht="15.75" customHeight="1" x14ac:dyDescent="0.25">
      <c r="A828" s="10"/>
      <c r="B828" s="13"/>
      <c r="C828" s="13"/>
      <c r="D828" s="13"/>
      <c r="E828" s="13"/>
      <c r="F828" s="13"/>
      <c r="G828" s="13"/>
      <c r="H828" s="13"/>
      <c r="T828" s="13"/>
      <c r="U828" s="13"/>
      <c r="V828" s="13"/>
      <c r="W828" s="13"/>
      <c r="X828" s="13"/>
      <c r="Y828" s="10"/>
      <c r="Z828" s="9"/>
      <c r="AA828" s="9"/>
      <c r="AB828" s="9"/>
      <c r="AC828" s="9"/>
      <c r="AD828" s="9"/>
      <c r="AE828" s="9"/>
      <c r="AF828" s="9"/>
      <c r="AG828" s="9"/>
      <c r="AH828" s="9"/>
      <c r="AI828" s="9"/>
    </row>
    <row r="829" spans="1:35" ht="15.75" customHeight="1" x14ac:dyDescent="0.25">
      <c r="A829" s="10"/>
      <c r="B829" s="13"/>
      <c r="C829" s="13"/>
      <c r="D829" s="13"/>
      <c r="E829" s="13"/>
      <c r="F829" s="13"/>
      <c r="G829" s="13"/>
      <c r="H829" s="13"/>
      <c r="T829" s="13"/>
      <c r="U829" s="13"/>
      <c r="V829" s="13"/>
      <c r="W829" s="13"/>
      <c r="X829" s="13"/>
      <c r="Y829" s="10"/>
      <c r="Z829" s="9"/>
      <c r="AA829" s="9"/>
      <c r="AB829" s="9"/>
      <c r="AC829" s="9"/>
      <c r="AD829" s="9"/>
      <c r="AE829" s="9"/>
      <c r="AF829" s="9"/>
      <c r="AG829" s="9"/>
      <c r="AH829" s="9"/>
      <c r="AI829" s="9"/>
    </row>
    <row r="830" spans="1:35" ht="15.75" customHeight="1" x14ac:dyDescent="0.25">
      <c r="A830" s="10"/>
      <c r="B830" s="13"/>
      <c r="C830" s="13"/>
      <c r="D830" s="13"/>
      <c r="E830" s="13"/>
      <c r="F830" s="13"/>
      <c r="G830" s="13"/>
      <c r="H830" s="13"/>
      <c r="T830" s="13"/>
      <c r="U830" s="13"/>
      <c r="V830" s="13"/>
      <c r="W830" s="13"/>
      <c r="X830" s="13"/>
      <c r="Y830" s="10"/>
      <c r="Z830" s="9"/>
      <c r="AA830" s="9"/>
      <c r="AB830" s="9"/>
      <c r="AC830" s="9"/>
      <c r="AD830" s="9"/>
      <c r="AE830" s="9"/>
      <c r="AF830" s="9"/>
      <c r="AG830" s="9"/>
      <c r="AH830" s="9"/>
      <c r="AI830" s="9"/>
    </row>
    <row r="831" spans="1:35" ht="15.75" customHeight="1" x14ac:dyDescent="0.25">
      <c r="A831" s="10"/>
      <c r="B831" s="13"/>
      <c r="C831" s="13"/>
      <c r="D831" s="13"/>
      <c r="E831" s="13"/>
      <c r="F831" s="13"/>
      <c r="G831" s="13"/>
      <c r="H831" s="13"/>
      <c r="T831" s="13"/>
      <c r="U831" s="13"/>
      <c r="V831" s="13"/>
      <c r="W831" s="13"/>
      <c r="X831" s="13"/>
      <c r="Y831" s="10"/>
      <c r="Z831" s="9"/>
      <c r="AA831" s="9"/>
      <c r="AB831" s="9"/>
      <c r="AC831" s="9"/>
      <c r="AD831" s="9"/>
      <c r="AE831" s="9"/>
      <c r="AF831" s="9"/>
      <c r="AG831" s="9"/>
      <c r="AH831" s="9"/>
      <c r="AI831" s="9"/>
    </row>
    <row r="832" spans="1:35" ht="15.75" customHeight="1" x14ac:dyDescent="0.25">
      <c r="A832" s="10"/>
      <c r="B832" s="13"/>
      <c r="C832" s="13"/>
      <c r="D832" s="13"/>
      <c r="E832" s="13"/>
      <c r="F832" s="13"/>
      <c r="G832" s="13"/>
      <c r="H832" s="13"/>
      <c r="T832" s="13"/>
      <c r="U832" s="13"/>
      <c r="V832" s="13"/>
      <c r="W832" s="13"/>
      <c r="X832" s="13"/>
      <c r="Y832" s="10"/>
      <c r="Z832" s="9"/>
      <c r="AA832" s="9"/>
      <c r="AB832" s="9"/>
      <c r="AC832" s="9"/>
      <c r="AD832" s="9"/>
      <c r="AE832" s="9"/>
      <c r="AF832" s="9"/>
      <c r="AG832" s="9"/>
      <c r="AH832" s="9"/>
      <c r="AI832" s="9"/>
    </row>
    <row r="833" spans="1:35" ht="15.75" customHeight="1" x14ac:dyDescent="0.25">
      <c r="A833" s="10"/>
      <c r="B833" s="13"/>
      <c r="C833" s="13"/>
      <c r="D833" s="13"/>
      <c r="E833" s="13"/>
      <c r="F833" s="13"/>
      <c r="G833" s="13"/>
      <c r="H833" s="13"/>
      <c r="T833" s="13"/>
      <c r="U833" s="13"/>
      <c r="V833" s="13"/>
      <c r="W833" s="13"/>
      <c r="X833" s="13"/>
      <c r="Y833" s="10"/>
      <c r="Z833" s="9"/>
      <c r="AA833" s="9"/>
      <c r="AB833" s="9"/>
      <c r="AC833" s="9"/>
      <c r="AD833" s="9"/>
      <c r="AE833" s="9"/>
      <c r="AF833" s="9"/>
      <c r="AG833" s="9"/>
      <c r="AH833" s="9"/>
      <c r="AI833" s="9"/>
    </row>
    <row r="834" spans="1:35" ht="15.75" customHeight="1" x14ac:dyDescent="0.25">
      <c r="A834" s="10"/>
      <c r="B834" s="13"/>
      <c r="C834" s="13"/>
      <c r="D834" s="13"/>
      <c r="E834" s="13"/>
      <c r="F834" s="13"/>
      <c r="G834" s="13"/>
      <c r="H834" s="13"/>
      <c r="T834" s="13"/>
      <c r="U834" s="13"/>
      <c r="V834" s="13"/>
      <c r="W834" s="13"/>
      <c r="X834" s="13"/>
      <c r="Y834" s="10"/>
      <c r="Z834" s="9"/>
      <c r="AA834" s="9"/>
      <c r="AB834" s="9"/>
      <c r="AC834" s="9"/>
      <c r="AD834" s="9"/>
      <c r="AE834" s="9"/>
      <c r="AF834" s="9"/>
      <c r="AG834" s="9"/>
      <c r="AH834" s="9"/>
      <c r="AI834" s="9"/>
    </row>
    <row r="835" spans="1:35" ht="15.75" customHeight="1" x14ac:dyDescent="0.25">
      <c r="A835" s="10"/>
      <c r="B835" s="13"/>
      <c r="C835" s="13"/>
      <c r="D835" s="13"/>
      <c r="E835" s="13"/>
      <c r="F835" s="13"/>
      <c r="G835" s="13"/>
      <c r="H835" s="13"/>
      <c r="T835" s="13"/>
      <c r="U835" s="13"/>
      <c r="V835" s="13"/>
      <c r="W835" s="13"/>
      <c r="X835" s="13"/>
      <c r="Y835" s="10"/>
      <c r="Z835" s="9"/>
      <c r="AA835" s="9"/>
      <c r="AB835" s="9"/>
      <c r="AC835" s="9"/>
      <c r="AD835" s="9"/>
      <c r="AE835" s="9"/>
      <c r="AF835" s="9"/>
      <c r="AG835" s="9"/>
      <c r="AH835" s="9"/>
      <c r="AI835" s="9"/>
    </row>
    <row r="836" spans="1:35" ht="15.75" customHeight="1" x14ac:dyDescent="0.25">
      <c r="A836" s="10"/>
      <c r="B836" s="13"/>
      <c r="C836" s="13"/>
      <c r="D836" s="13"/>
      <c r="E836" s="13"/>
      <c r="F836" s="13"/>
      <c r="G836" s="13"/>
      <c r="H836" s="13"/>
      <c r="T836" s="13"/>
      <c r="U836" s="13"/>
      <c r="V836" s="13"/>
      <c r="W836" s="13"/>
      <c r="X836" s="13"/>
      <c r="Y836" s="10"/>
      <c r="Z836" s="9"/>
      <c r="AA836" s="9"/>
      <c r="AB836" s="9"/>
      <c r="AC836" s="9"/>
      <c r="AD836" s="9"/>
      <c r="AE836" s="9"/>
      <c r="AF836" s="9"/>
      <c r="AG836" s="9"/>
      <c r="AH836" s="9"/>
      <c r="AI836" s="9"/>
    </row>
    <row r="837" spans="1:35" ht="15.75" customHeight="1" x14ac:dyDescent="0.25">
      <c r="A837" s="10"/>
      <c r="B837" s="13"/>
      <c r="C837" s="13"/>
      <c r="D837" s="13"/>
      <c r="E837" s="13"/>
      <c r="F837" s="13"/>
      <c r="G837" s="13"/>
      <c r="H837" s="13"/>
      <c r="T837" s="13"/>
      <c r="U837" s="13"/>
      <c r="V837" s="13"/>
      <c r="W837" s="13"/>
      <c r="X837" s="13"/>
      <c r="Y837" s="10"/>
      <c r="Z837" s="9"/>
      <c r="AA837" s="9"/>
      <c r="AB837" s="9"/>
      <c r="AC837" s="9"/>
      <c r="AD837" s="9"/>
      <c r="AE837" s="9"/>
      <c r="AF837" s="9"/>
      <c r="AG837" s="9"/>
      <c r="AH837" s="9"/>
      <c r="AI837" s="9"/>
    </row>
    <row r="838" spans="1:35" ht="15.75" customHeight="1" x14ac:dyDescent="0.25">
      <c r="A838" s="10"/>
      <c r="B838" s="13"/>
      <c r="C838" s="13"/>
      <c r="D838" s="13"/>
      <c r="E838" s="13"/>
      <c r="F838" s="13"/>
      <c r="G838" s="13"/>
      <c r="H838" s="13"/>
      <c r="T838" s="13"/>
      <c r="U838" s="13"/>
      <c r="V838" s="13"/>
      <c r="W838" s="13"/>
      <c r="X838" s="13"/>
      <c r="Y838" s="10"/>
      <c r="Z838" s="9"/>
      <c r="AA838" s="9"/>
      <c r="AB838" s="9"/>
      <c r="AC838" s="9"/>
      <c r="AD838" s="9"/>
      <c r="AE838" s="9"/>
      <c r="AF838" s="9"/>
      <c r="AG838" s="9"/>
      <c r="AH838" s="9"/>
      <c r="AI838" s="9"/>
    </row>
    <row r="839" spans="1:35" ht="15.75" customHeight="1" x14ac:dyDescent="0.25">
      <c r="A839" s="10"/>
      <c r="B839" s="13"/>
      <c r="C839" s="13"/>
      <c r="D839" s="13"/>
      <c r="E839" s="13"/>
      <c r="F839" s="13"/>
      <c r="G839" s="13"/>
      <c r="H839" s="13"/>
      <c r="T839" s="13"/>
      <c r="U839" s="13"/>
      <c r="V839" s="13"/>
      <c r="W839" s="13"/>
      <c r="X839" s="13"/>
      <c r="Y839" s="10"/>
      <c r="Z839" s="9"/>
      <c r="AA839" s="9"/>
      <c r="AB839" s="9"/>
      <c r="AC839" s="9"/>
      <c r="AD839" s="9"/>
      <c r="AE839" s="9"/>
      <c r="AF839" s="9"/>
      <c r="AG839" s="9"/>
      <c r="AH839" s="9"/>
      <c r="AI839" s="9"/>
    </row>
    <row r="840" spans="1:35" ht="15.75" customHeight="1" x14ac:dyDescent="0.25">
      <c r="A840" s="10"/>
      <c r="B840" s="13"/>
      <c r="C840" s="13"/>
      <c r="D840" s="13"/>
      <c r="E840" s="13"/>
      <c r="F840" s="13"/>
      <c r="G840" s="13"/>
      <c r="H840" s="13"/>
      <c r="T840" s="13"/>
      <c r="U840" s="13"/>
      <c r="V840" s="13"/>
      <c r="W840" s="13"/>
      <c r="X840" s="13"/>
      <c r="Y840" s="10"/>
      <c r="Z840" s="9"/>
      <c r="AA840" s="9"/>
      <c r="AB840" s="9"/>
      <c r="AC840" s="9"/>
      <c r="AD840" s="9"/>
      <c r="AE840" s="9"/>
      <c r="AF840" s="9"/>
      <c r="AG840" s="9"/>
      <c r="AH840" s="9"/>
      <c r="AI840" s="9"/>
    </row>
    <row r="841" spans="1:35" ht="15.75" customHeight="1" x14ac:dyDescent="0.25">
      <c r="A841" s="10"/>
      <c r="B841" s="13"/>
      <c r="C841" s="13"/>
      <c r="D841" s="13"/>
      <c r="E841" s="13"/>
      <c r="F841" s="13"/>
      <c r="G841" s="13"/>
      <c r="H841" s="13"/>
      <c r="T841" s="13"/>
      <c r="U841" s="13"/>
      <c r="V841" s="13"/>
      <c r="W841" s="13"/>
      <c r="X841" s="13"/>
      <c r="Y841" s="10"/>
      <c r="Z841" s="9"/>
      <c r="AA841" s="9"/>
      <c r="AB841" s="9"/>
      <c r="AC841" s="9"/>
      <c r="AD841" s="9"/>
      <c r="AE841" s="9"/>
      <c r="AF841" s="9"/>
      <c r="AG841" s="9"/>
      <c r="AH841" s="9"/>
      <c r="AI841" s="9"/>
    </row>
    <row r="842" spans="1:35" ht="15.75" customHeight="1" x14ac:dyDescent="0.25">
      <c r="A842" s="10"/>
      <c r="B842" s="13"/>
      <c r="C842" s="13"/>
      <c r="D842" s="13"/>
      <c r="E842" s="13"/>
      <c r="F842" s="13"/>
      <c r="G842" s="13"/>
      <c r="H842" s="13"/>
      <c r="T842" s="13"/>
      <c r="U842" s="13"/>
      <c r="V842" s="13"/>
      <c r="W842" s="13"/>
      <c r="X842" s="13"/>
      <c r="Y842" s="10"/>
      <c r="Z842" s="9"/>
      <c r="AA842" s="9"/>
      <c r="AB842" s="9"/>
      <c r="AC842" s="9"/>
      <c r="AD842" s="9"/>
      <c r="AE842" s="9"/>
      <c r="AF842" s="9"/>
      <c r="AG842" s="9"/>
      <c r="AH842" s="9"/>
      <c r="AI842" s="9"/>
    </row>
    <row r="843" spans="1:35" ht="15.75" customHeight="1" x14ac:dyDescent="0.25">
      <c r="A843" s="10"/>
      <c r="B843" s="13"/>
      <c r="C843" s="13"/>
      <c r="D843" s="13"/>
      <c r="E843" s="13"/>
      <c r="F843" s="13"/>
      <c r="G843" s="13"/>
      <c r="H843" s="13"/>
      <c r="T843" s="13"/>
      <c r="U843" s="13"/>
      <c r="V843" s="13"/>
      <c r="W843" s="13"/>
      <c r="X843" s="13"/>
      <c r="Y843" s="10"/>
      <c r="Z843" s="9"/>
      <c r="AA843" s="9"/>
      <c r="AB843" s="9"/>
      <c r="AC843" s="9"/>
      <c r="AD843" s="9"/>
      <c r="AE843" s="9"/>
      <c r="AF843" s="9"/>
      <c r="AG843" s="9"/>
      <c r="AH843" s="9"/>
      <c r="AI843" s="9"/>
    </row>
    <row r="844" spans="1:35" ht="15.75" customHeight="1" x14ac:dyDescent="0.25">
      <c r="A844" s="10"/>
      <c r="B844" s="13"/>
      <c r="C844" s="13"/>
      <c r="D844" s="13"/>
      <c r="E844" s="13"/>
      <c r="F844" s="13"/>
      <c r="G844" s="13"/>
      <c r="H844" s="13"/>
      <c r="T844" s="13"/>
      <c r="U844" s="13"/>
      <c r="V844" s="13"/>
      <c r="W844" s="13"/>
      <c r="X844" s="13"/>
      <c r="Y844" s="10"/>
      <c r="Z844" s="9"/>
      <c r="AA844" s="9"/>
      <c r="AB844" s="9"/>
      <c r="AC844" s="9"/>
      <c r="AD844" s="9"/>
      <c r="AE844" s="9"/>
      <c r="AF844" s="9"/>
      <c r="AG844" s="9"/>
      <c r="AH844" s="9"/>
      <c r="AI844" s="9"/>
    </row>
    <row r="845" spans="1:35" ht="15.75" customHeight="1" x14ac:dyDescent="0.25">
      <c r="A845" s="10"/>
      <c r="B845" s="13"/>
      <c r="C845" s="13"/>
      <c r="D845" s="13"/>
      <c r="E845" s="13"/>
      <c r="F845" s="13"/>
      <c r="G845" s="13"/>
      <c r="H845" s="13"/>
      <c r="T845" s="13"/>
      <c r="U845" s="13"/>
      <c r="V845" s="13"/>
      <c r="W845" s="13"/>
      <c r="X845" s="13"/>
      <c r="Y845" s="10"/>
      <c r="Z845" s="9"/>
      <c r="AA845" s="9"/>
      <c r="AB845" s="9"/>
      <c r="AC845" s="9"/>
      <c r="AD845" s="9"/>
      <c r="AE845" s="9"/>
      <c r="AF845" s="9"/>
      <c r="AG845" s="9"/>
      <c r="AH845" s="9"/>
      <c r="AI845" s="9"/>
    </row>
    <row r="846" spans="1:35" ht="15.75" customHeight="1" x14ac:dyDescent="0.25">
      <c r="A846" s="10"/>
      <c r="B846" s="13"/>
      <c r="C846" s="13"/>
      <c r="D846" s="13"/>
      <c r="E846" s="13"/>
      <c r="F846" s="13"/>
      <c r="G846" s="13"/>
      <c r="H846" s="13"/>
      <c r="T846" s="13"/>
      <c r="U846" s="13"/>
      <c r="V846" s="13"/>
      <c r="W846" s="13"/>
      <c r="X846" s="13"/>
      <c r="Y846" s="10"/>
      <c r="Z846" s="9"/>
      <c r="AA846" s="9"/>
      <c r="AB846" s="9"/>
      <c r="AC846" s="9"/>
      <c r="AD846" s="9"/>
      <c r="AE846" s="9"/>
      <c r="AF846" s="9"/>
      <c r="AG846" s="9"/>
      <c r="AH846" s="9"/>
      <c r="AI846" s="9"/>
    </row>
    <row r="847" spans="1:35" ht="15.75" customHeight="1" x14ac:dyDescent="0.25">
      <c r="A847" s="10"/>
      <c r="B847" s="13"/>
      <c r="C847" s="13"/>
      <c r="D847" s="13"/>
      <c r="E847" s="13"/>
      <c r="F847" s="13"/>
      <c r="G847" s="13"/>
      <c r="H847" s="13"/>
      <c r="T847" s="13"/>
      <c r="U847" s="13"/>
      <c r="V847" s="13"/>
      <c r="W847" s="13"/>
      <c r="X847" s="13"/>
      <c r="Y847" s="10"/>
      <c r="Z847" s="9"/>
      <c r="AA847" s="9"/>
      <c r="AB847" s="9"/>
      <c r="AC847" s="9"/>
      <c r="AD847" s="9"/>
      <c r="AE847" s="9"/>
      <c r="AF847" s="9"/>
      <c r="AG847" s="9"/>
      <c r="AH847" s="9"/>
      <c r="AI847" s="9"/>
    </row>
    <row r="848" spans="1:35" ht="15.75" customHeight="1" x14ac:dyDescent="0.25">
      <c r="A848" s="10"/>
      <c r="B848" s="13"/>
      <c r="C848" s="13"/>
      <c r="D848" s="13"/>
      <c r="E848" s="13"/>
      <c r="F848" s="13"/>
      <c r="G848" s="13"/>
      <c r="H848" s="13"/>
      <c r="T848" s="13"/>
      <c r="U848" s="13"/>
      <c r="V848" s="13"/>
      <c r="W848" s="13"/>
      <c r="X848" s="13"/>
      <c r="Y848" s="10"/>
      <c r="Z848" s="9"/>
      <c r="AA848" s="9"/>
      <c r="AB848" s="9"/>
      <c r="AC848" s="9"/>
      <c r="AD848" s="9"/>
      <c r="AE848" s="9"/>
      <c r="AF848" s="9"/>
      <c r="AG848" s="9"/>
      <c r="AH848" s="9"/>
      <c r="AI848" s="9"/>
    </row>
    <row r="849" spans="1:35" ht="15.75" customHeight="1" x14ac:dyDescent="0.25">
      <c r="A849" s="10"/>
      <c r="B849" s="13"/>
      <c r="C849" s="13"/>
      <c r="D849" s="13"/>
      <c r="E849" s="13"/>
      <c r="F849" s="13"/>
      <c r="G849" s="13"/>
      <c r="H849" s="13"/>
      <c r="T849" s="13"/>
      <c r="U849" s="13"/>
      <c r="V849" s="13"/>
      <c r="W849" s="13"/>
      <c r="X849" s="13"/>
      <c r="Y849" s="10"/>
      <c r="Z849" s="9"/>
      <c r="AA849" s="9"/>
      <c r="AB849" s="9"/>
      <c r="AC849" s="9"/>
      <c r="AD849" s="9"/>
      <c r="AE849" s="9"/>
      <c r="AF849" s="9"/>
      <c r="AG849" s="9"/>
      <c r="AH849" s="9"/>
      <c r="AI849" s="9"/>
    </row>
    <row r="850" spans="1:35" ht="15.75" customHeight="1" x14ac:dyDescent="0.25">
      <c r="A850" s="10"/>
      <c r="B850" s="13"/>
      <c r="C850" s="13"/>
      <c r="D850" s="13"/>
      <c r="E850" s="13"/>
      <c r="F850" s="13"/>
      <c r="G850" s="13"/>
      <c r="H850" s="13"/>
      <c r="T850" s="13"/>
      <c r="U850" s="13"/>
      <c r="V850" s="13"/>
      <c r="W850" s="13"/>
      <c r="X850" s="13"/>
      <c r="Y850" s="10"/>
      <c r="Z850" s="9"/>
      <c r="AA850" s="9"/>
      <c r="AB850" s="9"/>
      <c r="AC850" s="9"/>
      <c r="AD850" s="9"/>
      <c r="AE850" s="9"/>
      <c r="AF850" s="9"/>
      <c r="AG850" s="9"/>
      <c r="AH850" s="9"/>
      <c r="AI850" s="9"/>
    </row>
    <row r="851" spans="1:35" ht="15.75" customHeight="1" x14ac:dyDescent="0.25">
      <c r="A851" s="10"/>
      <c r="B851" s="13"/>
      <c r="C851" s="13"/>
      <c r="D851" s="13"/>
      <c r="E851" s="13"/>
      <c r="F851" s="13"/>
      <c r="G851" s="13"/>
      <c r="H851" s="13"/>
      <c r="T851" s="13"/>
      <c r="U851" s="13"/>
      <c r="V851" s="13"/>
      <c r="W851" s="13"/>
      <c r="X851" s="13"/>
      <c r="Y851" s="10"/>
      <c r="Z851" s="9"/>
      <c r="AA851" s="9"/>
      <c r="AB851" s="9"/>
      <c r="AC851" s="9"/>
      <c r="AD851" s="9"/>
      <c r="AE851" s="9"/>
      <c r="AF851" s="9"/>
      <c r="AG851" s="9"/>
      <c r="AH851" s="9"/>
      <c r="AI851" s="9"/>
    </row>
    <row r="852" spans="1:35" ht="15.75" customHeight="1" x14ac:dyDescent="0.25">
      <c r="A852" s="10"/>
      <c r="B852" s="13"/>
      <c r="C852" s="13"/>
      <c r="D852" s="13"/>
      <c r="E852" s="13"/>
      <c r="F852" s="13"/>
      <c r="G852" s="13"/>
      <c r="H852" s="13"/>
      <c r="T852" s="13"/>
      <c r="U852" s="13"/>
      <c r="V852" s="13"/>
      <c r="W852" s="13"/>
      <c r="X852" s="13"/>
      <c r="Y852" s="10"/>
      <c r="Z852" s="9"/>
      <c r="AA852" s="9"/>
      <c r="AB852" s="9"/>
      <c r="AC852" s="9"/>
      <c r="AD852" s="9"/>
      <c r="AE852" s="9"/>
      <c r="AF852" s="9"/>
      <c r="AG852" s="9"/>
      <c r="AH852" s="9"/>
      <c r="AI852" s="9"/>
    </row>
    <row r="853" spans="1:35" ht="15.75" customHeight="1" x14ac:dyDescent="0.25">
      <c r="A853" s="10"/>
      <c r="B853" s="13"/>
      <c r="C853" s="13"/>
      <c r="D853" s="13"/>
      <c r="E853" s="13"/>
      <c r="F853" s="13"/>
      <c r="G853" s="13"/>
      <c r="H853" s="13"/>
      <c r="T853" s="13"/>
      <c r="U853" s="13"/>
      <c r="V853" s="13"/>
      <c r="W853" s="13"/>
      <c r="X853" s="13"/>
      <c r="Y853" s="10"/>
      <c r="Z853" s="9"/>
      <c r="AA853" s="9"/>
      <c r="AB853" s="9"/>
      <c r="AC853" s="9"/>
      <c r="AD853" s="9"/>
      <c r="AE853" s="9"/>
      <c r="AF853" s="9"/>
      <c r="AG853" s="9"/>
      <c r="AH853" s="9"/>
      <c r="AI853" s="9"/>
    </row>
    <row r="854" spans="1:35" ht="15.75" customHeight="1" x14ac:dyDescent="0.25">
      <c r="A854" s="10"/>
      <c r="B854" s="13"/>
      <c r="C854" s="13"/>
      <c r="D854" s="13"/>
      <c r="E854" s="13"/>
      <c r="F854" s="13"/>
      <c r="G854" s="13"/>
      <c r="H854" s="13"/>
      <c r="T854" s="13"/>
      <c r="U854" s="13"/>
      <c r="V854" s="13"/>
      <c r="W854" s="13"/>
      <c r="X854" s="13"/>
      <c r="Y854" s="10"/>
      <c r="Z854" s="9"/>
      <c r="AA854" s="9"/>
      <c r="AB854" s="9"/>
      <c r="AC854" s="9"/>
      <c r="AD854" s="9"/>
      <c r="AE854" s="9"/>
      <c r="AF854" s="9"/>
      <c r="AG854" s="9"/>
      <c r="AH854" s="9"/>
      <c r="AI854" s="9"/>
    </row>
    <row r="855" spans="1:35" ht="15.75" customHeight="1" x14ac:dyDescent="0.25">
      <c r="A855" s="10"/>
      <c r="B855" s="13"/>
      <c r="C855" s="13"/>
      <c r="D855" s="13"/>
      <c r="E855" s="13"/>
      <c r="F855" s="13"/>
      <c r="G855" s="13"/>
      <c r="H855" s="13"/>
      <c r="T855" s="13"/>
      <c r="U855" s="13"/>
      <c r="V855" s="13"/>
      <c r="W855" s="13"/>
      <c r="X855" s="13"/>
      <c r="Y855" s="10"/>
      <c r="Z855" s="9"/>
      <c r="AA855" s="9"/>
      <c r="AB855" s="9"/>
      <c r="AC855" s="9"/>
      <c r="AD855" s="9"/>
      <c r="AE855" s="9"/>
      <c r="AF855" s="9"/>
      <c r="AG855" s="9"/>
      <c r="AH855" s="9"/>
      <c r="AI855" s="9"/>
    </row>
    <row r="856" spans="1:35" ht="15.75" customHeight="1" x14ac:dyDescent="0.25">
      <c r="A856" s="10"/>
      <c r="B856" s="13"/>
      <c r="C856" s="13"/>
      <c r="D856" s="13"/>
      <c r="E856" s="13"/>
      <c r="F856" s="13"/>
      <c r="G856" s="13"/>
      <c r="H856" s="13"/>
      <c r="T856" s="13"/>
      <c r="U856" s="13"/>
      <c r="V856" s="13"/>
      <c r="W856" s="13"/>
      <c r="X856" s="13"/>
      <c r="Y856" s="10"/>
      <c r="Z856" s="9"/>
      <c r="AA856" s="9"/>
      <c r="AB856" s="9"/>
      <c r="AC856" s="9"/>
      <c r="AD856" s="9"/>
      <c r="AE856" s="9"/>
      <c r="AF856" s="9"/>
      <c r="AG856" s="9"/>
      <c r="AH856" s="9"/>
      <c r="AI856" s="9"/>
    </row>
    <row r="857" spans="1:35" ht="15.75" customHeight="1" x14ac:dyDescent="0.25">
      <c r="A857" s="10"/>
      <c r="B857" s="13"/>
      <c r="C857" s="13"/>
      <c r="D857" s="13"/>
      <c r="E857" s="13"/>
      <c r="F857" s="13"/>
      <c r="G857" s="13"/>
      <c r="H857" s="13"/>
      <c r="T857" s="13"/>
      <c r="U857" s="13"/>
      <c r="V857" s="13"/>
      <c r="W857" s="13"/>
      <c r="X857" s="13"/>
      <c r="Y857" s="10"/>
      <c r="Z857" s="9"/>
      <c r="AA857" s="9"/>
      <c r="AB857" s="9"/>
      <c r="AC857" s="9"/>
      <c r="AD857" s="9"/>
      <c r="AE857" s="9"/>
      <c r="AF857" s="9"/>
      <c r="AG857" s="9"/>
      <c r="AH857" s="9"/>
      <c r="AI857" s="9"/>
    </row>
    <row r="858" spans="1:35" ht="15.75" customHeight="1" x14ac:dyDescent="0.25">
      <c r="A858" s="10"/>
      <c r="B858" s="13"/>
      <c r="C858" s="13"/>
      <c r="D858" s="13"/>
      <c r="E858" s="13"/>
      <c r="F858" s="13"/>
      <c r="G858" s="13"/>
      <c r="H858" s="13"/>
      <c r="T858" s="13"/>
      <c r="U858" s="13"/>
      <c r="V858" s="13"/>
      <c r="W858" s="13"/>
      <c r="X858" s="13"/>
      <c r="Y858" s="10"/>
      <c r="Z858" s="9"/>
      <c r="AA858" s="9"/>
      <c r="AB858" s="9"/>
      <c r="AC858" s="9"/>
      <c r="AD858" s="9"/>
      <c r="AE858" s="9"/>
      <c r="AF858" s="9"/>
      <c r="AG858" s="9"/>
      <c r="AH858" s="9"/>
      <c r="AI858" s="9"/>
    </row>
    <row r="859" spans="1:35" ht="15.75" customHeight="1" x14ac:dyDescent="0.25">
      <c r="A859" s="10"/>
      <c r="B859" s="13"/>
      <c r="C859" s="13"/>
      <c r="D859" s="13"/>
      <c r="E859" s="13"/>
      <c r="F859" s="13"/>
      <c r="G859" s="13"/>
      <c r="H859" s="13"/>
      <c r="T859" s="13"/>
      <c r="U859" s="13"/>
      <c r="V859" s="13"/>
      <c r="W859" s="13"/>
      <c r="X859" s="13"/>
      <c r="Y859" s="10"/>
      <c r="Z859" s="9"/>
      <c r="AA859" s="9"/>
      <c r="AB859" s="9"/>
      <c r="AC859" s="9"/>
      <c r="AD859" s="9"/>
      <c r="AE859" s="9"/>
      <c r="AF859" s="9"/>
      <c r="AG859" s="9"/>
      <c r="AH859" s="9"/>
      <c r="AI859" s="9"/>
    </row>
    <row r="860" spans="1:35" ht="15.75" customHeight="1" x14ac:dyDescent="0.25">
      <c r="A860" s="10"/>
      <c r="B860" s="13"/>
      <c r="C860" s="13"/>
      <c r="D860" s="13"/>
      <c r="E860" s="13"/>
      <c r="F860" s="13"/>
      <c r="G860" s="13"/>
      <c r="H860" s="13"/>
      <c r="T860" s="13"/>
      <c r="U860" s="13"/>
      <c r="V860" s="13"/>
      <c r="W860" s="13"/>
      <c r="X860" s="13"/>
      <c r="Y860" s="10"/>
      <c r="Z860" s="9"/>
      <c r="AA860" s="9"/>
      <c r="AB860" s="9"/>
      <c r="AC860" s="9"/>
      <c r="AD860" s="9"/>
      <c r="AE860" s="9"/>
      <c r="AF860" s="9"/>
      <c r="AG860" s="9"/>
      <c r="AH860" s="9"/>
      <c r="AI860" s="9"/>
    </row>
    <row r="861" spans="1:35" ht="15.75" customHeight="1" x14ac:dyDescent="0.25">
      <c r="A861" s="10"/>
      <c r="B861" s="13"/>
      <c r="C861" s="13"/>
      <c r="D861" s="13"/>
      <c r="E861" s="13"/>
      <c r="F861" s="13"/>
      <c r="G861" s="13"/>
      <c r="H861" s="13"/>
      <c r="T861" s="13"/>
      <c r="U861" s="13"/>
      <c r="V861" s="13"/>
      <c r="W861" s="13"/>
      <c r="X861" s="13"/>
      <c r="Y861" s="10"/>
      <c r="Z861" s="9"/>
      <c r="AA861" s="9"/>
      <c r="AB861" s="9"/>
      <c r="AC861" s="9"/>
      <c r="AD861" s="9"/>
      <c r="AE861" s="9"/>
      <c r="AF861" s="9"/>
      <c r="AG861" s="9"/>
      <c r="AH861" s="9"/>
      <c r="AI861" s="9"/>
    </row>
    <row r="862" spans="1:35" ht="15.75" customHeight="1" x14ac:dyDescent="0.25">
      <c r="A862" s="10"/>
      <c r="B862" s="13"/>
      <c r="C862" s="13"/>
      <c r="D862" s="13"/>
      <c r="E862" s="13"/>
      <c r="F862" s="13"/>
      <c r="G862" s="13"/>
      <c r="H862" s="13"/>
      <c r="T862" s="13"/>
      <c r="U862" s="13"/>
      <c r="V862" s="13"/>
      <c r="W862" s="13"/>
      <c r="X862" s="13"/>
      <c r="Y862" s="10"/>
      <c r="Z862" s="9"/>
      <c r="AA862" s="9"/>
      <c r="AB862" s="9"/>
      <c r="AC862" s="9"/>
      <c r="AD862" s="9"/>
      <c r="AE862" s="9"/>
      <c r="AF862" s="9"/>
      <c r="AG862" s="9"/>
      <c r="AH862" s="9"/>
      <c r="AI862" s="9"/>
    </row>
    <row r="863" spans="1:35" ht="15.75" customHeight="1" x14ac:dyDescent="0.25">
      <c r="A863" s="10"/>
      <c r="B863" s="13"/>
      <c r="C863" s="13"/>
      <c r="D863" s="13"/>
      <c r="E863" s="13"/>
      <c r="F863" s="13"/>
      <c r="G863" s="13"/>
      <c r="H863" s="13"/>
      <c r="T863" s="13"/>
      <c r="U863" s="13"/>
      <c r="V863" s="13"/>
      <c r="W863" s="13"/>
      <c r="X863" s="13"/>
      <c r="Y863" s="10"/>
      <c r="Z863" s="9"/>
      <c r="AA863" s="9"/>
      <c r="AB863" s="9"/>
      <c r="AC863" s="9"/>
      <c r="AD863" s="9"/>
      <c r="AE863" s="9"/>
      <c r="AF863" s="9"/>
      <c r="AG863" s="9"/>
      <c r="AH863" s="9"/>
      <c r="AI863" s="9"/>
    </row>
    <row r="864" spans="1:35" ht="15.75" customHeight="1" x14ac:dyDescent="0.25">
      <c r="A864" s="10"/>
      <c r="B864" s="13"/>
      <c r="C864" s="13"/>
      <c r="D864" s="13"/>
      <c r="E864" s="13"/>
      <c r="F864" s="13"/>
      <c r="G864" s="13"/>
      <c r="H864" s="13"/>
      <c r="T864" s="13"/>
      <c r="U864" s="13"/>
      <c r="V864" s="13"/>
      <c r="W864" s="13"/>
      <c r="X864" s="13"/>
      <c r="Y864" s="10"/>
      <c r="Z864" s="9"/>
      <c r="AA864" s="9"/>
      <c r="AB864" s="9"/>
      <c r="AC864" s="9"/>
      <c r="AD864" s="9"/>
      <c r="AE864" s="9"/>
      <c r="AF864" s="9"/>
      <c r="AG864" s="9"/>
      <c r="AH864" s="9"/>
      <c r="AI864" s="9"/>
    </row>
    <row r="865" spans="1:35" ht="15.75" customHeight="1" x14ac:dyDescent="0.25">
      <c r="A865" s="10"/>
      <c r="B865" s="13"/>
      <c r="C865" s="13"/>
      <c r="D865" s="13"/>
      <c r="E865" s="13"/>
      <c r="F865" s="13"/>
      <c r="G865" s="13"/>
      <c r="H865" s="13"/>
      <c r="T865" s="13"/>
      <c r="U865" s="13"/>
      <c r="V865" s="13"/>
      <c r="W865" s="13"/>
      <c r="X865" s="13"/>
      <c r="Y865" s="10"/>
      <c r="Z865" s="9"/>
      <c r="AA865" s="9"/>
      <c r="AB865" s="9"/>
      <c r="AC865" s="9"/>
      <c r="AD865" s="9"/>
      <c r="AE865" s="9"/>
      <c r="AF865" s="9"/>
      <c r="AG865" s="9"/>
      <c r="AH865" s="9"/>
      <c r="AI865" s="9"/>
    </row>
    <row r="866" spans="1:35" ht="15.75" customHeight="1" x14ac:dyDescent="0.25">
      <c r="A866" s="10"/>
      <c r="B866" s="13"/>
      <c r="C866" s="13"/>
      <c r="D866" s="13"/>
      <c r="E866" s="13"/>
      <c r="F866" s="13"/>
      <c r="G866" s="13"/>
      <c r="H866" s="13"/>
      <c r="T866" s="13"/>
      <c r="U866" s="13"/>
      <c r="V866" s="13"/>
      <c r="W866" s="13"/>
      <c r="X866" s="13"/>
      <c r="Y866" s="10"/>
      <c r="Z866" s="9"/>
      <c r="AA866" s="9"/>
      <c r="AB866" s="9"/>
      <c r="AC866" s="9"/>
      <c r="AD866" s="9"/>
      <c r="AE866" s="9"/>
      <c r="AF866" s="9"/>
      <c r="AG866" s="9"/>
      <c r="AH866" s="9"/>
      <c r="AI866" s="9"/>
    </row>
    <row r="867" spans="1:35" ht="15.75" customHeight="1" x14ac:dyDescent="0.25">
      <c r="A867" s="10"/>
      <c r="B867" s="13"/>
      <c r="C867" s="13"/>
      <c r="D867" s="13"/>
      <c r="E867" s="13"/>
      <c r="F867" s="13"/>
      <c r="G867" s="13"/>
      <c r="H867" s="13"/>
      <c r="T867" s="13"/>
      <c r="U867" s="13"/>
      <c r="V867" s="13"/>
      <c r="W867" s="13"/>
      <c r="X867" s="13"/>
      <c r="Y867" s="10"/>
      <c r="Z867" s="9"/>
      <c r="AA867" s="9"/>
      <c r="AB867" s="9"/>
      <c r="AC867" s="9"/>
      <c r="AD867" s="9"/>
      <c r="AE867" s="9"/>
      <c r="AF867" s="9"/>
      <c r="AG867" s="9"/>
      <c r="AH867" s="9"/>
      <c r="AI867" s="9"/>
    </row>
    <row r="868" spans="1:35" ht="15.75" customHeight="1" x14ac:dyDescent="0.25">
      <c r="A868" s="10"/>
      <c r="B868" s="13"/>
      <c r="C868" s="13"/>
      <c r="D868" s="13"/>
      <c r="E868" s="13"/>
      <c r="F868" s="13"/>
      <c r="G868" s="13"/>
      <c r="H868" s="13"/>
      <c r="T868" s="13"/>
      <c r="U868" s="13"/>
      <c r="V868" s="13"/>
      <c r="W868" s="13"/>
      <c r="X868" s="13"/>
      <c r="Y868" s="10"/>
      <c r="Z868" s="9"/>
      <c r="AA868" s="9"/>
      <c r="AB868" s="9"/>
      <c r="AC868" s="9"/>
      <c r="AD868" s="9"/>
      <c r="AE868" s="9"/>
      <c r="AF868" s="9"/>
      <c r="AG868" s="9"/>
      <c r="AH868" s="9"/>
      <c r="AI868" s="9"/>
    </row>
    <row r="869" spans="1:35" ht="15.75" customHeight="1" x14ac:dyDescent="0.25">
      <c r="A869" s="10"/>
      <c r="B869" s="13"/>
      <c r="C869" s="13"/>
      <c r="D869" s="13"/>
      <c r="E869" s="13"/>
      <c r="F869" s="13"/>
      <c r="G869" s="13"/>
      <c r="H869" s="13"/>
      <c r="T869" s="13"/>
      <c r="U869" s="13"/>
      <c r="V869" s="13"/>
      <c r="W869" s="13"/>
      <c r="X869" s="13"/>
      <c r="Y869" s="10"/>
      <c r="Z869" s="9"/>
      <c r="AA869" s="9"/>
      <c r="AB869" s="9"/>
      <c r="AC869" s="9"/>
      <c r="AD869" s="9"/>
      <c r="AE869" s="9"/>
      <c r="AF869" s="9"/>
      <c r="AG869" s="9"/>
      <c r="AH869" s="9"/>
      <c r="AI869" s="9"/>
    </row>
    <row r="870" spans="1:35" ht="15.75" customHeight="1" x14ac:dyDescent="0.25">
      <c r="A870" s="10"/>
      <c r="B870" s="13"/>
      <c r="C870" s="13"/>
      <c r="D870" s="13"/>
      <c r="E870" s="13"/>
      <c r="F870" s="13"/>
      <c r="G870" s="13"/>
      <c r="H870" s="13"/>
      <c r="T870" s="13"/>
      <c r="U870" s="13"/>
      <c r="V870" s="13"/>
      <c r="W870" s="13"/>
      <c r="X870" s="13"/>
      <c r="Y870" s="10"/>
      <c r="Z870" s="9"/>
      <c r="AA870" s="9"/>
      <c r="AB870" s="9"/>
      <c r="AC870" s="9"/>
      <c r="AD870" s="9"/>
      <c r="AE870" s="9"/>
      <c r="AF870" s="9"/>
      <c r="AG870" s="9"/>
      <c r="AH870" s="9"/>
      <c r="AI870" s="9"/>
    </row>
    <row r="871" spans="1:35" ht="15.75" customHeight="1" x14ac:dyDescent="0.25">
      <c r="A871" s="10"/>
      <c r="B871" s="13"/>
      <c r="C871" s="13"/>
      <c r="D871" s="13"/>
      <c r="E871" s="13"/>
      <c r="F871" s="13"/>
      <c r="G871" s="13"/>
      <c r="H871" s="13"/>
      <c r="T871" s="13"/>
      <c r="U871" s="13"/>
      <c r="V871" s="13"/>
      <c r="W871" s="13"/>
      <c r="X871" s="13"/>
      <c r="Y871" s="10"/>
      <c r="Z871" s="9"/>
      <c r="AA871" s="9"/>
      <c r="AB871" s="9"/>
      <c r="AC871" s="9"/>
      <c r="AD871" s="9"/>
      <c r="AE871" s="9"/>
      <c r="AF871" s="9"/>
      <c r="AG871" s="9"/>
      <c r="AH871" s="9"/>
      <c r="AI871" s="9"/>
    </row>
    <row r="872" spans="1:35" ht="15.75" customHeight="1" x14ac:dyDescent="0.25">
      <c r="A872" s="10"/>
      <c r="B872" s="13"/>
      <c r="C872" s="13"/>
      <c r="D872" s="13"/>
      <c r="E872" s="13"/>
      <c r="F872" s="13"/>
      <c r="G872" s="13"/>
      <c r="H872" s="13"/>
      <c r="T872" s="13"/>
      <c r="U872" s="13"/>
      <c r="V872" s="13"/>
      <c r="W872" s="13"/>
      <c r="X872" s="13"/>
      <c r="Y872" s="10"/>
      <c r="Z872" s="9"/>
      <c r="AA872" s="9"/>
      <c r="AB872" s="9"/>
      <c r="AC872" s="9"/>
      <c r="AD872" s="9"/>
      <c r="AE872" s="9"/>
      <c r="AF872" s="9"/>
      <c r="AG872" s="9"/>
      <c r="AH872" s="9"/>
      <c r="AI872" s="9"/>
    </row>
    <row r="873" spans="1:35" ht="15.75" customHeight="1" x14ac:dyDescent="0.25">
      <c r="A873" s="10"/>
      <c r="B873" s="13"/>
      <c r="C873" s="13"/>
      <c r="D873" s="13"/>
      <c r="E873" s="13"/>
      <c r="F873" s="13"/>
      <c r="G873" s="13"/>
      <c r="H873" s="13"/>
      <c r="T873" s="13"/>
      <c r="U873" s="13"/>
      <c r="V873" s="13"/>
      <c r="W873" s="13"/>
      <c r="X873" s="13"/>
      <c r="Y873" s="10"/>
      <c r="Z873" s="9"/>
      <c r="AA873" s="9"/>
      <c r="AB873" s="9"/>
      <c r="AC873" s="9"/>
      <c r="AD873" s="9"/>
      <c r="AE873" s="9"/>
      <c r="AF873" s="9"/>
      <c r="AG873" s="9"/>
      <c r="AH873" s="9"/>
      <c r="AI873" s="9"/>
    </row>
    <row r="874" spans="1:35" ht="15.75" customHeight="1" x14ac:dyDescent="0.25">
      <c r="A874" s="10"/>
      <c r="B874" s="13"/>
      <c r="C874" s="13"/>
      <c r="D874" s="13"/>
      <c r="E874" s="13"/>
      <c r="F874" s="13"/>
      <c r="G874" s="13"/>
      <c r="H874" s="13"/>
      <c r="T874" s="13"/>
      <c r="U874" s="13"/>
      <c r="V874" s="13"/>
      <c r="W874" s="13"/>
      <c r="X874" s="13"/>
      <c r="Y874" s="10"/>
      <c r="Z874" s="9"/>
      <c r="AA874" s="9"/>
      <c r="AB874" s="9"/>
      <c r="AC874" s="9"/>
      <c r="AD874" s="9"/>
      <c r="AE874" s="9"/>
      <c r="AF874" s="9"/>
      <c r="AG874" s="9"/>
      <c r="AH874" s="9"/>
      <c r="AI874" s="9"/>
    </row>
    <row r="875" spans="1:35" ht="15.75" customHeight="1" x14ac:dyDescent="0.25">
      <c r="A875" s="10"/>
      <c r="B875" s="13"/>
      <c r="C875" s="13"/>
      <c r="D875" s="13"/>
      <c r="E875" s="13"/>
      <c r="F875" s="13"/>
      <c r="G875" s="13"/>
      <c r="H875" s="13"/>
      <c r="T875" s="13"/>
      <c r="U875" s="13"/>
      <c r="V875" s="13"/>
      <c r="W875" s="13"/>
      <c r="X875" s="13"/>
      <c r="Y875" s="10"/>
      <c r="Z875" s="9"/>
      <c r="AA875" s="9"/>
      <c r="AB875" s="9"/>
      <c r="AC875" s="9"/>
      <c r="AD875" s="9"/>
      <c r="AE875" s="9"/>
      <c r="AF875" s="9"/>
      <c r="AG875" s="9"/>
      <c r="AH875" s="9"/>
      <c r="AI875" s="9"/>
    </row>
    <row r="876" spans="1:35" ht="15.75" customHeight="1" x14ac:dyDescent="0.25">
      <c r="A876" s="10"/>
      <c r="B876" s="13"/>
      <c r="C876" s="13"/>
      <c r="D876" s="13"/>
      <c r="E876" s="13"/>
      <c r="F876" s="13"/>
      <c r="G876" s="13"/>
      <c r="H876" s="13"/>
      <c r="T876" s="13"/>
      <c r="U876" s="13"/>
      <c r="V876" s="13"/>
      <c r="W876" s="13"/>
      <c r="X876" s="13"/>
      <c r="Y876" s="10"/>
      <c r="Z876" s="9"/>
      <c r="AA876" s="9"/>
      <c r="AB876" s="9"/>
      <c r="AC876" s="9"/>
      <c r="AD876" s="9"/>
      <c r="AE876" s="9"/>
      <c r="AF876" s="9"/>
      <c r="AG876" s="9"/>
      <c r="AH876" s="9"/>
      <c r="AI876" s="9"/>
    </row>
    <row r="877" spans="1:35" ht="15.75" customHeight="1" x14ac:dyDescent="0.25">
      <c r="A877" s="10"/>
      <c r="B877" s="13"/>
      <c r="C877" s="13"/>
      <c r="D877" s="13"/>
      <c r="E877" s="13"/>
      <c r="F877" s="13"/>
      <c r="G877" s="13"/>
      <c r="H877" s="13"/>
      <c r="T877" s="13"/>
      <c r="U877" s="13"/>
      <c r="V877" s="13"/>
      <c r="W877" s="13"/>
      <c r="X877" s="13"/>
      <c r="Y877" s="10"/>
      <c r="Z877" s="9"/>
      <c r="AA877" s="9"/>
      <c r="AB877" s="9"/>
      <c r="AC877" s="9"/>
      <c r="AD877" s="9"/>
      <c r="AE877" s="9"/>
      <c r="AF877" s="9"/>
      <c r="AG877" s="9"/>
      <c r="AH877" s="9"/>
      <c r="AI877" s="9"/>
    </row>
    <row r="878" spans="1:35" ht="15.75" customHeight="1" x14ac:dyDescent="0.25">
      <c r="A878" s="10"/>
      <c r="B878" s="13"/>
      <c r="C878" s="13"/>
      <c r="D878" s="13"/>
      <c r="E878" s="13"/>
      <c r="F878" s="13"/>
      <c r="G878" s="13"/>
      <c r="H878" s="13"/>
      <c r="T878" s="13"/>
      <c r="U878" s="13"/>
      <c r="V878" s="13"/>
      <c r="W878" s="13"/>
      <c r="X878" s="13"/>
      <c r="Y878" s="10"/>
      <c r="Z878" s="9"/>
      <c r="AA878" s="9"/>
      <c r="AB878" s="9"/>
      <c r="AC878" s="9"/>
      <c r="AD878" s="9"/>
      <c r="AE878" s="9"/>
      <c r="AF878" s="9"/>
      <c r="AG878" s="9"/>
      <c r="AH878" s="9"/>
      <c r="AI878" s="9"/>
    </row>
    <row r="879" spans="1:35" ht="15.75" customHeight="1" x14ac:dyDescent="0.25">
      <c r="A879" s="10"/>
      <c r="B879" s="13"/>
      <c r="C879" s="13"/>
      <c r="D879" s="13"/>
      <c r="E879" s="13"/>
      <c r="F879" s="13"/>
      <c r="G879" s="13"/>
      <c r="H879" s="13"/>
      <c r="T879" s="13"/>
      <c r="U879" s="13"/>
      <c r="V879" s="13"/>
      <c r="W879" s="13"/>
      <c r="X879" s="13"/>
      <c r="Y879" s="10"/>
      <c r="Z879" s="9"/>
      <c r="AA879" s="9"/>
      <c r="AB879" s="9"/>
      <c r="AC879" s="9"/>
      <c r="AD879" s="9"/>
      <c r="AE879" s="9"/>
      <c r="AF879" s="9"/>
      <c r="AG879" s="9"/>
      <c r="AH879" s="9"/>
      <c r="AI879" s="9"/>
    </row>
    <row r="880" spans="1:35" ht="15.75" customHeight="1" x14ac:dyDescent="0.25">
      <c r="A880" s="10"/>
      <c r="B880" s="13"/>
      <c r="C880" s="13"/>
      <c r="D880" s="13"/>
      <c r="E880" s="13"/>
      <c r="F880" s="13"/>
      <c r="G880" s="13"/>
      <c r="H880" s="13"/>
      <c r="T880" s="13"/>
      <c r="U880" s="13"/>
      <c r="V880" s="13"/>
      <c r="W880" s="13"/>
      <c r="X880" s="13"/>
      <c r="Y880" s="10"/>
      <c r="Z880" s="9"/>
      <c r="AA880" s="9"/>
      <c r="AB880" s="9"/>
      <c r="AC880" s="9"/>
      <c r="AD880" s="9"/>
      <c r="AE880" s="9"/>
      <c r="AF880" s="9"/>
      <c r="AG880" s="9"/>
      <c r="AH880" s="9"/>
      <c r="AI880" s="9"/>
    </row>
    <row r="881" spans="1:35" ht="15.75" customHeight="1" x14ac:dyDescent="0.25">
      <c r="A881" s="10"/>
      <c r="B881" s="13"/>
      <c r="C881" s="13"/>
      <c r="D881" s="13"/>
      <c r="E881" s="13"/>
      <c r="F881" s="13"/>
      <c r="G881" s="13"/>
      <c r="H881" s="13"/>
      <c r="T881" s="13"/>
      <c r="U881" s="13"/>
      <c r="V881" s="13"/>
      <c r="W881" s="13"/>
      <c r="X881" s="13"/>
      <c r="Y881" s="10"/>
      <c r="Z881" s="9"/>
      <c r="AA881" s="9"/>
      <c r="AB881" s="9"/>
      <c r="AC881" s="9"/>
      <c r="AD881" s="9"/>
      <c r="AE881" s="9"/>
      <c r="AF881" s="9"/>
      <c r="AG881" s="9"/>
      <c r="AH881" s="9"/>
      <c r="AI881" s="9"/>
    </row>
    <row r="882" spans="1:35" ht="15.75" customHeight="1" x14ac:dyDescent="0.25">
      <c r="A882" s="10"/>
      <c r="B882" s="13"/>
      <c r="C882" s="13"/>
      <c r="D882" s="13"/>
      <c r="E882" s="13"/>
      <c r="F882" s="13"/>
      <c r="G882" s="13"/>
      <c r="H882" s="13"/>
      <c r="T882" s="13"/>
      <c r="U882" s="13"/>
      <c r="V882" s="13"/>
      <c r="W882" s="13"/>
      <c r="X882" s="13"/>
      <c r="Y882" s="10"/>
      <c r="Z882" s="9"/>
      <c r="AA882" s="9"/>
      <c r="AB882" s="9"/>
      <c r="AC882" s="9"/>
      <c r="AD882" s="9"/>
      <c r="AE882" s="9"/>
      <c r="AF882" s="9"/>
      <c r="AG882" s="9"/>
      <c r="AH882" s="9"/>
      <c r="AI882" s="9"/>
    </row>
    <row r="883" spans="1:35" ht="15.75" customHeight="1" x14ac:dyDescent="0.25">
      <c r="A883" s="10"/>
      <c r="B883" s="13"/>
      <c r="C883" s="13"/>
      <c r="D883" s="13"/>
      <c r="E883" s="13"/>
      <c r="F883" s="13"/>
      <c r="G883" s="13"/>
      <c r="H883" s="13"/>
      <c r="T883" s="13"/>
      <c r="U883" s="13"/>
      <c r="V883" s="13"/>
      <c r="W883" s="13"/>
      <c r="X883" s="13"/>
      <c r="Y883" s="10"/>
      <c r="Z883" s="9"/>
      <c r="AA883" s="9"/>
      <c r="AB883" s="9"/>
      <c r="AC883" s="9"/>
      <c r="AD883" s="9"/>
      <c r="AE883" s="9"/>
      <c r="AF883" s="9"/>
      <c r="AG883" s="9"/>
      <c r="AH883" s="9"/>
      <c r="AI883" s="9"/>
    </row>
    <row r="884" spans="1:35" ht="15.75" customHeight="1" x14ac:dyDescent="0.25">
      <c r="A884" s="10"/>
      <c r="B884" s="13"/>
      <c r="C884" s="13"/>
      <c r="D884" s="13"/>
      <c r="E884" s="13"/>
      <c r="F884" s="13"/>
      <c r="G884" s="13"/>
      <c r="H884" s="13"/>
      <c r="T884" s="13"/>
      <c r="U884" s="13"/>
      <c r="V884" s="13"/>
      <c r="W884" s="13"/>
      <c r="X884" s="13"/>
      <c r="Y884" s="10"/>
      <c r="Z884" s="9"/>
      <c r="AA884" s="9"/>
      <c r="AB884" s="9"/>
      <c r="AC884" s="9"/>
      <c r="AD884" s="9"/>
      <c r="AE884" s="9"/>
      <c r="AF884" s="9"/>
      <c r="AG884" s="9"/>
      <c r="AH884" s="9"/>
      <c r="AI884" s="9"/>
    </row>
    <row r="885" spans="1:35" ht="15.75" customHeight="1" x14ac:dyDescent="0.25">
      <c r="A885" s="10"/>
      <c r="B885" s="13"/>
      <c r="C885" s="13"/>
      <c r="D885" s="13"/>
      <c r="E885" s="13"/>
      <c r="F885" s="13"/>
      <c r="G885" s="13"/>
      <c r="H885" s="13"/>
      <c r="T885" s="13"/>
      <c r="U885" s="13"/>
      <c r="V885" s="13"/>
      <c r="W885" s="13"/>
      <c r="X885" s="13"/>
      <c r="Y885" s="10"/>
      <c r="Z885" s="9"/>
      <c r="AA885" s="9"/>
      <c r="AB885" s="9"/>
      <c r="AC885" s="9"/>
      <c r="AD885" s="9"/>
      <c r="AE885" s="9"/>
      <c r="AF885" s="9"/>
      <c r="AG885" s="9"/>
      <c r="AH885" s="9"/>
      <c r="AI885" s="9"/>
    </row>
    <row r="886" spans="1:35" ht="15.75" customHeight="1" x14ac:dyDescent="0.25">
      <c r="A886" s="10"/>
      <c r="B886" s="13"/>
      <c r="C886" s="13"/>
      <c r="D886" s="13"/>
      <c r="E886" s="13"/>
      <c r="F886" s="13"/>
      <c r="G886" s="13"/>
      <c r="H886" s="13"/>
      <c r="T886" s="13"/>
      <c r="U886" s="13"/>
      <c r="V886" s="13"/>
      <c r="W886" s="13"/>
      <c r="X886" s="13"/>
      <c r="Y886" s="10"/>
      <c r="Z886" s="9"/>
      <c r="AA886" s="9"/>
      <c r="AB886" s="9"/>
      <c r="AC886" s="9"/>
      <c r="AD886" s="9"/>
      <c r="AE886" s="9"/>
      <c r="AF886" s="9"/>
      <c r="AG886" s="9"/>
      <c r="AH886" s="9"/>
      <c r="AI886" s="9"/>
    </row>
    <row r="887" spans="1:35" ht="15.75" customHeight="1" x14ac:dyDescent="0.25">
      <c r="A887" s="10"/>
      <c r="B887" s="13"/>
      <c r="C887" s="13"/>
      <c r="D887" s="13"/>
      <c r="E887" s="13"/>
      <c r="F887" s="13"/>
      <c r="G887" s="13"/>
      <c r="H887" s="13"/>
      <c r="T887" s="13"/>
      <c r="U887" s="13"/>
      <c r="V887" s="13"/>
      <c r="W887" s="13"/>
      <c r="X887" s="13"/>
      <c r="Y887" s="10"/>
      <c r="Z887" s="9"/>
      <c r="AA887" s="9"/>
      <c r="AB887" s="9"/>
      <c r="AC887" s="9"/>
      <c r="AD887" s="9"/>
      <c r="AE887" s="9"/>
      <c r="AF887" s="9"/>
      <c r="AG887" s="9"/>
      <c r="AH887" s="9"/>
      <c r="AI887" s="9"/>
    </row>
    <row r="888" spans="1:35" ht="15.75" customHeight="1" x14ac:dyDescent="0.25">
      <c r="A888" s="10"/>
      <c r="B888" s="13"/>
      <c r="C888" s="13"/>
      <c r="D888" s="13"/>
      <c r="E888" s="13"/>
      <c r="F888" s="13"/>
      <c r="G888" s="13"/>
      <c r="H888" s="13"/>
      <c r="T888" s="13"/>
      <c r="U888" s="13"/>
      <c r="V888" s="13"/>
      <c r="W888" s="13"/>
      <c r="X888" s="13"/>
      <c r="Y888" s="10"/>
      <c r="Z888" s="9"/>
      <c r="AA888" s="9"/>
      <c r="AB888" s="9"/>
      <c r="AC888" s="9"/>
      <c r="AD888" s="9"/>
      <c r="AE888" s="9"/>
      <c r="AF888" s="9"/>
      <c r="AG888" s="9"/>
      <c r="AH888" s="9"/>
      <c r="AI888" s="9"/>
    </row>
    <row r="889" spans="1:35" ht="15.75" customHeight="1" x14ac:dyDescent="0.25">
      <c r="A889" s="10"/>
      <c r="B889" s="13"/>
      <c r="C889" s="13"/>
      <c r="D889" s="13"/>
      <c r="E889" s="13"/>
      <c r="F889" s="13"/>
      <c r="G889" s="13"/>
      <c r="H889" s="13"/>
      <c r="T889" s="13"/>
      <c r="U889" s="13"/>
      <c r="V889" s="13"/>
      <c r="W889" s="13"/>
      <c r="X889" s="13"/>
      <c r="Y889" s="10"/>
      <c r="Z889" s="9"/>
      <c r="AA889" s="9"/>
      <c r="AB889" s="9"/>
      <c r="AC889" s="9"/>
      <c r="AD889" s="9"/>
      <c r="AE889" s="9"/>
      <c r="AF889" s="9"/>
      <c r="AG889" s="9"/>
      <c r="AH889" s="9"/>
      <c r="AI889" s="9"/>
    </row>
    <row r="890" spans="1:35" ht="15.75" customHeight="1" x14ac:dyDescent="0.25">
      <c r="A890" s="10"/>
      <c r="B890" s="13"/>
      <c r="C890" s="13"/>
      <c r="D890" s="13"/>
      <c r="E890" s="13"/>
      <c r="F890" s="13"/>
      <c r="G890" s="13"/>
      <c r="H890" s="13"/>
      <c r="T890" s="13"/>
      <c r="U890" s="13"/>
      <c r="V890" s="13"/>
      <c r="W890" s="13"/>
      <c r="X890" s="13"/>
      <c r="Y890" s="10"/>
      <c r="Z890" s="9"/>
      <c r="AA890" s="9"/>
      <c r="AB890" s="9"/>
      <c r="AC890" s="9"/>
      <c r="AD890" s="9"/>
      <c r="AE890" s="9"/>
      <c r="AF890" s="9"/>
      <c r="AG890" s="9"/>
      <c r="AH890" s="9"/>
      <c r="AI890" s="9"/>
    </row>
    <row r="891" spans="1:35" ht="15.75" customHeight="1" x14ac:dyDescent="0.25">
      <c r="A891" s="10"/>
      <c r="B891" s="13"/>
      <c r="C891" s="13"/>
      <c r="D891" s="13"/>
      <c r="E891" s="13"/>
      <c r="F891" s="13"/>
      <c r="G891" s="13"/>
      <c r="H891" s="13"/>
      <c r="T891" s="13"/>
      <c r="U891" s="13"/>
      <c r="V891" s="13"/>
      <c r="W891" s="13"/>
      <c r="X891" s="13"/>
      <c r="Y891" s="10"/>
      <c r="Z891" s="9"/>
      <c r="AA891" s="9"/>
      <c r="AB891" s="9"/>
      <c r="AC891" s="9"/>
      <c r="AD891" s="9"/>
      <c r="AE891" s="9"/>
      <c r="AF891" s="9"/>
      <c r="AG891" s="9"/>
      <c r="AH891" s="9"/>
      <c r="AI891" s="9"/>
    </row>
    <row r="892" spans="1:35" ht="15.75" customHeight="1" x14ac:dyDescent="0.25">
      <c r="A892" s="10"/>
      <c r="B892" s="13"/>
      <c r="C892" s="13"/>
      <c r="D892" s="13"/>
      <c r="E892" s="13"/>
      <c r="F892" s="13"/>
      <c r="G892" s="13"/>
      <c r="H892" s="13"/>
      <c r="T892" s="13"/>
      <c r="U892" s="13"/>
      <c r="V892" s="13"/>
      <c r="W892" s="13"/>
      <c r="X892" s="13"/>
      <c r="Y892" s="10"/>
      <c r="Z892" s="9"/>
      <c r="AA892" s="9"/>
      <c r="AB892" s="9"/>
      <c r="AC892" s="9"/>
      <c r="AD892" s="9"/>
      <c r="AE892" s="9"/>
      <c r="AF892" s="9"/>
      <c r="AG892" s="9"/>
      <c r="AH892" s="9"/>
      <c r="AI892" s="9"/>
    </row>
    <row r="893" spans="1:35" ht="15.75" customHeight="1" x14ac:dyDescent="0.25">
      <c r="A893" s="10"/>
      <c r="B893" s="13"/>
      <c r="C893" s="13"/>
      <c r="D893" s="13"/>
      <c r="E893" s="13"/>
      <c r="F893" s="13"/>
      <c r="G893" s="13"/>
      <c r="H893" s="13"/>
      <c r="T893" s="13"/>
      <c r="U893" s="13"/>
      <c r="V893" s="13"/>
      <c r="W893" s="13"/>
      <c r="X893" s="13"/>
      <c r="Y893" s="10"/>
      <c r="Z893" s="9"/>
      <c r="AA893" s="9"/>
      <c r="AB893" s="9"/>
      <c r="AC893" s="9"/>
      <c r="AD893" s="9"/>
      <c r="AE893" s="9"/>
      <c r="AF893" s="9"/>
      <c r="AG893" s="9"/>
      <c r="AH893" s="9"/>
      <c r="AI893" s="9"/>
    </row>
    <row r="894" spans="1:35" ht="15.75" customHeight="1" x14ac:dyDescent="0.25">
      <c r="A894" s="10"/>
      <c r="B894" s="13"/>
      <c r="C894" s="13"/>
      <c r="D894" s="13"/>
      <c r="E894" s="13"/>
      <c r="F894" s="13"/>
      <c r="G894" s="13"/>
      <c r="H894" s="13"/>
      <c r="T894" s="13"/>
      <c r="U894" s="13"/>
      <c r="V894" s="13"/>
      <c r="W894" s="13"/>
      <c r="X894" s="13"/>
      <c r="Y894" s="10"/>
      <c r="Z894" s="9"/>
      <c r="AA894" s="9"/>
      <c r="AB894" s="9"/>
      <c r="AC894" s="9"/>
      <c r="AD894" s="9"/>
      <c r="AE894" s="9"/>
      <c r="AF894" s="9"/>
      <c r="AG894" s="9"/>
      <c r="AH894" s="9"/>
      <c r="AI894" s="9"/>
    </row>
    <row r="895" spans="1:35" ht="15.75" customHeight="1" x14ac:dyDescent="0.25">
      <c r="A895" s="10"/>
      <c r="B895" s="13"/>
      <c r="C895" s="13"/>
      <c r="D895" s="13"/>
      <c r="E895" s="13"/>
      <c r="F895" s="13"/>
      <c r="G895" s="13"/>
      <c r="H895" s="13"/>
      <c r="T895" s="13"/>
      <c r="U895" s="13"/>
      <c r="V895" s="13"/>
      <c r="W895" s="13"/>
      <c r="X895" s="13"/>
      <c r="Y895" s="10"/>
      <c r="Z895" s="9"/>
      <c r="AA895" s="9"/>
      <c r="AB895" s="9"/>
      <c r="AC895" s="9"/>
      <c r="AD895" s="9"/>
      <c r="AE895" s="9"/>
      <c r="AF895" s="9"/>
      <c r="AG895" s="9"/>
      <c r="AH895" s="9"/>
      <c r="AI895" s="9"/>
    </row>
    <row r="896" spans="1:35" ht="15.75" customHeight="1" x14ac:dyDescent="0.25">
      <c r="A896" s="10"/>
      <c r="B896" s="13"/>
      <c r="C896" s="13"/>
      <c r="D896" s="13"/>
      <c r="E896" s="13"/>
      <c r="F896" s="13"/>
      <c r="G896" s="13"/>
      <c r="H896" s="13"/>
      <c r="T896" s="13"/>
      <c r="U896" s="13"/>
      <c r="V896" s="13"/>
      <c r="W896" s="13"/>
      <c r="X896" s="13"/>
      <c r="Y896" s="10"/>
      <c r="Z896" s="9"/>
      <c r="AA896" s="9"/>
      <c r="AB896" s="9"/>
      <c r="AC896" s="9"/>
      <c r="AD896" s="9"/>
      <c r="AE896" s="9"/>
      <c r="AF896" s="9"/>
      <c r="AG896" s="9"/>
      <c r="AH896" s="9"/>
      <c r="AI896" s="9"/>
    </row>
    <row r="897" spans="1:35" ht="15.75" customHeight="1" x14ac:dyDescent="0.25">
      <c r="A897" s="10"/>
      <c r="B897" s="13"/>
      <c r="C897" s="13"/>
      <c r="D897" s="13"/>
      <c r="E897" s="13"/>
      <c r="F897" s="13"/>
      <c r="G897" s="13"/>
      <c r="H897" s="13"/>
      <c r="T897" s="13"/>
      <c r="U897" s="13"/>
      <c r="V897" s="13"/>
      <c r="W897" s="13"/>
      <c r="X897" s="13"/>
      <c r="Y897" s="10"/>
      <c r="Z897" s="9"/>
      <c r="AA897" s="9"/>
      <c r="AB897" s="9"/>
      <c r="AC897" s="9"/>
      <c r="AD897" s="9"/>
      <c r="AE897" s="9"/>
      <c r="AF897" s="9"/>
      <c r="AG897" s="9"/>
      <c r="AH897" s="9"/>
      <c r="AI897" s="9"/>
    </row>
    <row r="898" spans="1:35" ht="15.75" customHeight="1" x14ac:dyDescent="0.25">
      <c r="A898" s="10"/>
      <c r="B898" s="13"/>
      <c r="C898" s="13"/>
      <c r="D898" s="13"/>
      <c r="E898" s="13"/>
      <c r="F898" s="13"/>
      <c r="G898" s="13"/>
      <c r="H898" s="13"/>
      <c r="T898" s="13"/>
      <c r="U898" s="13"/>
      <c r="V898" s="13"/>
      <c r="W898" s="13"/>
      <c r="X898" s="13"/>
      <c r="Y898" s="10"/>
      <c r="Z898" s="9"/>
      <c r="AA898" s="9"/>
      <c r="AB898" s="9"/>
      <c r="AC898" s="9"/>
      <c r="AD898" s="9"/>
      <c r="AE898" s="9"/>
      <c r="AF898" s="9"/>
      <c r="AG898" s="9"/>
      <c r="AH898" s="9"/>
      <c r="AI898" s="9"/>
    </row>
    <row r="899" spans="1:35" ht="15.75" customHeight="1" x14ac:dyDescent="0.25">
      <c r="A899" s="10"/>
      <c r="B899" s="13"/>
      <c r="C899" s="13"/>
      <c r="D899" s="13"/>
      <c r="E899" s="13"/>
      <c r="F899" s="13"/>
      <c r="G899" s="13"/>
      <c r="H899" s="13"/>
      <c r="T899" s="13"/>
      <c r="U899" s="13"/>
      <c r="V899" s="13"/>
      <c r="W899" s="13"/>
      <c r="X899" s="13"/>
      <c r="Y899" s="10"/>
      <c r="Z899" s="9"/>
      <c r="AA899" s="9"/>
      <c r="AB899" s="9"/>
      <c r="AC899" s="9"/>
      <c r="AD899" s="9"/>
      <c r="AE899" s="9"/>
      <c r="AF899" s="9"/>
      <c r="AG899" s="9"/>
      <c r="AH899" s="9"/>
      <c r="AI899" s="9"/>
    </row>
    <row r="900" spans="1:35" ht="15.75" customHeight="1" x14ac:dyDescent="0.25">
      <c r="A900" s="10"/>
      <c r="B900" s="13"/>
      <c r="C900" s="13"/>
      <c r="D900" s="13"/>
      <c r="E900" s="13"/>
      <c r="F900" s="13"/>
      <c r="G900" s="13"/>
      <c r="H900" s="13"/>
      <c r="T900" s="13"/>
      <c r="U900" s="13"/>
      <c r="V900" s="13"/>
      <c r="W900" s="13"/>
      <c r="X900" s="13"/>
      <c r="Y900" s="10"/>
      <c r="Z900" s="9"/>
      <c r="AA900" s="9"/>
      <c r="AB900" s="9"/>
      <c r="AC900" s="9"/>
      <c r="AD900" s="9"/>
      <c r="AE900" s="9"/>
      <c r="AF900" s="9"/>
      <c r="AG900" s="9"/>
      <c r="AH900" s="9"/>
      <c r="AI900" s="9"/>
    </row>
    <row r="901" spans="1:35" ht="15.75" customHeight="1" x14ac:dyDescent="0.25">
      <c r="A901" s="10"/>
      <c r="B901" s="13"/>
      <c r="C901" s="13"/>
      <c r="D901" s="13"/>
      <c r="E901" s="13"/>
      <c r="F901" s="13"/>
      <c r="G901" s="13"/>
      <c r="H901" s="13"/>
      <c r="T901" s="13"/>
      <c r="U901" s="13"/>
      <c r="V901" s="13"/>
      <c r="W901" s="13"/>
      <c r="X901" s="13"/>
      <c r="Y901" s="10"/>
      <c r="Z901" s="9"/>
      <c r="AA901" s="9"/>
      <c r="AB901" s="9"/>
      <c r="AC901" s="9"/>
      <c r="AD901" s="9"/>
      <c r="AE901" s="9"/>
      <c r="AF901" s="9"/>
      <c r="AG901" s="9"/>
      <c r="AH901" s="9"/>
      <c r="AI901" s="9"/>
    </row>
    <row r="902" spans="1:35" ht="15.75" customHeight="1" x14ac:dyDescent="0.25">
      <c r="A902" s="10"/>
      <c r="B902" s="13"/>
      <c r="C902" s="13"/>
      <c r="D902" s="13"/>
      <c r="E902" s="13"/>
      <c r="F902" s="13"/>
      <c r="G902" s="13"/>
      <c r="H902" s="13"/>
      <c r="T902" s="13"/>
      <c r="U902" s="13"/>
      <c r="V902" s="13"/>
      <c r="W902" s="13"/>
      <c r="X902" s="13"/>
      <c r="Y902" s="10"/>
      <c r="Z902" s="9"/>
      <c r="AA902" s="9"/>
      <c r="AB902" s="9"/>
      <c r="AC902" s="9"/>
      <c r="AD902" s="9"/>
      <c r="AE902" s="9"/>
      <c r="AF902" s="9"/>
      <c r="AG902" s="9"/>
      <c r="AH902" s="9"/>
      <c r="AI902" s="9"/>
    </row>
    <row r="903" spans="1:35" ht="15.75" customHeight="1" x14ac:dyDescent="0.25">
      <c r="A903" s="10"/>
      <c r="B903" s="13"/>
      <c r="C903" s="13"/>
      <c r="D903" s="13"/>
      <c r="E903" s="13"/>
      <c r="F903" s="13"/>
      <c r="G903" s="13"/>
      <c r="H903" s="13"/>
      <c r="T903" s="13"/>
      <c r="U903" s="13"/>
      <c r="V903" s="13"/>
      <c r="W903" s="13"/>
      <c r="X903" s="13"/>
      <c r="Y903" s="10"/>
      <c r="Z903" s="9"/>
      <c r="AA903" s="9"/>
      <c r="AB903" s="9"/>
      <c r="AC903" s="9"/>
      <c r="AD903" s="9"/>
      <c r="AE903" s="9"/>
      <c r="AF903" s="9"/>
      <c r="AG903" s="9"/>
      <c r="AH903" s="9"/>
      <c r="AI903" s="9"/>
    </row>
    <row r="904" spans="1:35" ht="15.75" customHeight="1" x14ac:dyDescent="0.25">
      <c r="A904" s="10"/>
      <c r="B904" s="13"/>
      <c r="C904" s="13"/>
      <c r="D904" s="13"/>
      <c r="E904" s="13"/>
      <c r="F904" s="13"/>
      <c r="G904" s="13"/>
      <c r="H904" s="13"/>
      <c r="T904" s="13"/>
      <c r="U904" s="13"/>
      <c r="V904" s="13"/>
      <c r="W904" s="13"/>
      <c r="X904" s="13"/>
      <c r="Y904" s="10"/>
      <c r="Z904" s="9"/>
      <c r="AA904" s="9"/>
      <c r="AB904" s="9"/>
      <c r="AC904" s="9"/>
      <c r="AD904" s="9"/>
      <c r="AE904" s="9"/>
      <c r="AF904" s="9"/>
      <c r="AG904" s="9"/>
      <c r="AH904" s="9"/>
      <c r="AI904" s="9"/>
    </row>
    <row r="905" spans="1:35" ht="15.75" customHeight="1" x14ac:dyDescent="0.25">
      <c r="A905" s="10"/>
      <c r="B905" s="13"/>
      <c r="C905" s="13"/>
      <c r="D905" s="13"/>
      <c r="E905" s="13"/>
      <c r="F905" s="13"/>
      <c r="G905" s="13"/>
      <c r="H905" s="13"/>
      <c r="T905" s="13"/>
      <c r="U905" s="13"/>
      <c r="V905" s="13"/>
      <c r="W905" s="13"/>
      <c r="X905" s="13"/>
      <c r="Y905" s="10"/>
      <c r="Z905" s="9"/>
      <c r="AA905" s="9"/>
      <c r="AB905" s="9"/>
      <c r="AC905" s="9"/>
      <c r="AD905" s="9"/>
      <c r="AE905" s="9"/>
      <c r="AF905" s="9"/>
      <c r="AG905" s="9"/>
      <c r="AH905" s="9"/>
      <c r="AI905" s="9"/>
    </row>
    <row r="906" spans="1:35" ht="15.75" customHeight="1" x14ac:dyDescent="0.25">
      <c r="A906" s="10"/>
      <c r="B906" s="13"/>
      <c r="C906" s="13"/>
      <c r="D906" s="13"/>
      <c r="E906" s="13"/>
      <c r="F906" s="13"/>
      <c r="G906" s="13"/>
      <c r="H906" s="13"/>
      <c r="T906" s="13"/>
      <c r="U906" s="13"/>
      <c r="V906" s="13"/>
      <c r="W906" s="13"/>
      <c r="X906" s="13"/>
      <c r="Y906" s="10"/>
      <c r="Z906" s="9"/>
      <c r="AA906" s="9"/>
      <c r="AB906" s="9"/>
      <c r="AC906" s="9"/>
      <c r="AD906" s="9"/>
      <c r="AE906" s="9"/>
      <c r="AF906" s="9"/>
      <c r="AG906" s="9"/>
      <c r="AH906" s="9"/>
      <c r="AI906" s="9"/>
    </row>
    <row r="907" spans="1:35" ht="15.75" customHeight="1" x14ac:dyDescent="0.25">
      <c r="A907" s="10"/>
      <c r="B907" s="13"/>
      <c r="C907" s="13"/>
      <c r="D907" s="13"/>
      <c r="E907" s="13"/>
      <c r="F907" s="13"/>
      <c r="G907" s="13"/>
      <c r="H907" s="13"/>
      <c r="T907" s="13"/>
      <c r="U907" s="13"/>
      <c r="V907" s="13"/>
      <c r="W907" s="13"/>
      <c r="X907" s="13"/>
      <c r="Y907" s="10"/>
      <c r="Z907" s="9"/>
      <c r="AA907" s="9"/>
      <c r="AB907" s="9"/>
      <c r="AC907" s="9"/>
      <c r="AD907" s="9"/>
      <c r="AE907" s="9"/>
      <c r="AF907" s="9"/>
      <c r="AG907" s="9"/>
      <c r="AH907" s="9"/>
      <c r="AI907" s="9"/>
    </row>
    <row r="908" spans="1:35" ht="15.75" customHeight="1" x14ac:dyDescent="0.25">
      <c r="A908" s="10"/>
      <c r="B908" s="13"/>
      <c r="C908" s="13"/>
      <c r="D908" s="13"/>
      <c r="E908" s="13"/>
      <c r="F908" s="13"/>
      <c r="G908" s="13"/>
      <c r="H908" s="13"/>
      <c r="T908" s="13"/>
      <c r="U908" s="13"/>
      <c r="V908" s="13"/>
      <c r="W908" s="13"/>
      <c r="X908" s="13"/>
      <c r="Y908" s="10"/>
      <c r="Z908" s="9"/>
      <c r="AA908" s="9"/>
      <c r="AB908" s="9"/>
      <c r="AC908" s="9"/>
      <c r="AD908" s="9"/>
      <c r="AE908" s="9"/>
      <c r="AF908" s="9"/>
      <c r="AG908" s="9"/>
      <c r="AH908" s="9"/>
      <c r="AI908" s="9"/>
    </row>
    <row r="909" spans="1:35" ht="15.75" customHeight="1" x14ac:dyDescent="0.25">
      <c r="A909" s="10"/>
      <c r="B909" s="13"/>
      <c r="C909" s="13"/>
      <c r="D909" s="13"/>
      <c r="E909" s="13"/>
      <c r="F909" s="13"/>
      <c r="G909" s="13"/>
      <c r="H909" s="13"/>
      <c r="T909" s="13"/>
      <c r="U909" s="13"/>
      <c r="V909" s="13"/>
      <c r="W909" s="13"/>
      <c r="X909" s="13"/>
      <c r="Y909" s="10"/>
      <c r="Z909" s="9"/>
      <c r="AA909" s="9"/>
      <c r="AB909" s="9"/>
      <c r="AC909" s="9"/>
      <c r="AD909" s="9"/>
      <c r="AE909" s="9"/>
      <c r="AF909" s="9"/>
      <c r="AG909" s="9"/>
      <c r="AH909" s="9"/>
      <c r="AI909" s="9"/>
    </row>
    <row r="910" spans="1:35" ht="15.75" customHeight="1" x14ac:dyDescent="0.25">
      <c r="A910" s="10"/>
      <c r="B910" s="13"/>
      <c r="C910" s="13"/>
      <c r="D910" s="13"/>
      <c r="E910" s="13"/>
      <c r="F910" s="13"/>
      <c r="G910" s="13"/>
      <c r="H910" s="13"/>
      <c r="T910" s="13"/>
      <c r="U910" s="13"/>
      <c r="V910" s="13"/>
      <c r="W910" s="13"/>
      <c r="X910" s="13"/>
      <c r="Y910" s="10"/>
      <c r="Z910" s="9"/>
      <c r="AA910" s="9"/>
      <c r="AB910" s="9"/>
      <c r="AC910" s="9"/>
      <c r="AD910" s="9"/>
      <c r="AE910" s="9"/>
      <c r="AF910" s="9"/>
      <c r="AG910" s="9"/>
      <c r="AH910" s="9"/>
      <c r="AI910" s="9"/>
    </row>
    <row r="911" spans="1:35" ht="15.75" customHeight="1" x14ac:dyDescent="0.25">
      <c r="A911" s="10"/>
      <c r="B911" s="13"/>
      <c r="C911" s="13"/>
      <c r="D911" s="13"/>
      <c r="E911" s="13"/>
      <c r="F911" s="13"/>
      <c r="G911" s="13"/>
      <c r="H911" s="13"/>
      <c r="T911" s="13"/>
      <c r="U911" s="13"/>
      <c r="V911" s="13"/>
      <c r="W911" s="13"/>
      <c r="X911" s="13"/>
      <c r="Y911" s="10"/>
      <c r="Z911" s="9"/>
      <c r="AA911" s="9"/>
      <c r="AB911" s="9"/>
      <c r="AC911" s="9"/>
      <c r="AD911" s="9"/>
      <c r="AE911" s="9"/>
      <c r="AF911" s="9"/>
      <c r="AG911" s="9"/>
      <c r="AH911" s="9"/>
      <c r="AI911" s="9"/>
    </row>
    <row r="912" spans="1:35" ht="15.75" customHeight="1" x14ac:dyDescent="0.25">
      <c r="A912" s="10"/>
      <c r="B912" s="13"/>
      <c r="C912" s="13"/>
      <c r="D912" s="13"/>
      <c r="E912" s="13"/>
      <c r="F912" s="13"/>
      <c r="G912" s="13"/>
      <c r="H912" s="13"/>
      <c r="T912" s="13"/>
      <c r="U912" s="13"/>
      <c r="V912" s="13"/>
      <c r="W912" s="13"/>
      <c r="X912" s="13"/>
      <c r="Y912" s="10"/>
      <c r="Z912" s="9"/>
      <c r="AA912" s="9"/>
      <c r="AB912" s="9"/>
      <c r="AC912" s="9"/>
      <c r="AD912" s="9"/>
      <c r="AE912" s="9"/>
      <c r="AF912" s="9"/>
      <c r="AG912" s="9"/>
      <c r="AH912" s="9"/>
      <c r="AI912" s="9"/>
    </row>
    <row r="913" spans="1:35" ht="15.75" customHeight="1" x14ac:dyDescent="0.25">
      <c r="A913" s="10"/>
      <c r="B913" s="13"/>
      <c r="C913" s="13"/>
      <c r="D913" s="13"/>
      <c r="E913" s="13"/>
      <c r="F913" s="13"/>
      <c r="G913" s="13"/>
      <c r="H913" s="13"/>
      <c r="T913" s="13"/>
      <c r="U913" s="13"/>
      <c r="V913" s="13"/>
      <c r="W913" s="13"/>
      <c r="X913" s="13"/>
      <c r="Y913" s="10"/>
      <c r="Z913" s="9"/>
      <c r="AA913" s="9"/>
      <c r="AB913" s="9"/>
      <c r="AC913" s="9"/>
      <c r="AD913" s="9"/>
      <c r="AE913" s="9"/>
      <c r="AF913" s="9"/>
      <c r="AG913" s="9"/>
      <c r="AH913" s="9"/>
      <c r="AI913" s="9"/>
    </row>
    <row r="914" spans="1:35" ht="15.75" customHeight="1" x14ac:dyDescent="0.25">
      <c r="A914" s="10"/>
      <c r="B914" s="13"/>
      <c r="C914" s="13"/>
      <c r="D914" s="13"/>
      <c r="E914" s="13"/>
      <c r="F914" s="13"/>
      <c r="G914" s="13"/>
      <c r="H914" s="13"/>
      <c r="T914" s="13"/>
      <c r="U914" s="13"/>
      <c r="V914" s="13"/>
      <c r="W914" s="13"/>
      <c r="X914" s="13"/>
      <c r="Y914" s="10"/>
      <c r="Z914" s="9"/>
      <c r="AA914" s="9"/>
      <c r="AB914" s="9"/>
      <c r="AC914" s="9"/>
      <c r="AD914" s="9"/>
      <c r="AE914" s="9"/>
      <c r="AF914" s="9"/>
      <c r="AG914" s="9"/>
      <c r="AH914" s="9"/>
      <c r="AI914" s="9"/>
    </row>
    <row r="915" spans="1:35" ht="15.75" customHeight="1" x14ac:dyDescent="0.25">
      <c r="A915" s="10"/>
      <c r="B915" s="13"/>
      <c r="C915" s="13"/>
      <c r="D915" s="13"/>
      <c r="E915" s="13"/>
      <c r="F915" s="13"/>
      <c r="G915" s="13"/>
      <c r="H915" s="13"/>
      <c r="T915" s="13"/>
      <c r="U915" s="13"/>
      <c r="V915" s="13"/>
      <c r="W915" s="13"/>
      <c r="X915" s="13"/>
      <c r="Y915" s="10"/>
      <c r="Z915" s="9"/>
      <c r="AA915" s="9"/>
      <c r="AB915" s="9"/>
      <c r="AC915" s="9"/>
      <c r="AD915" s="9"/>
      <c r="AE915" s="9"/>
      <c r="AF915" s="9"/>
      <c r="AG915" s="9"/>
      <c r="AH915" s="9"/>
      <c r="AI915" s="9"/>
    </row>
    <row r="916" spans="1:35" ht="15.75" customHeight="1" x14ac:dyDescent="0.25">
      <c r="A916" s="10"/>
      <c r="B916" s="13"/>
      <c r="C916" s="13"/>
      <c r="D916" s="13"/>
      <c r="E916" s="13"/>
      <c r="F916" s="13"/>
      <c r="G916" s="13"/>
      <c r="H916" s="13"/>
      <c r="T916" s="13"/>
      <c r="U916" s="13"/>
      <c r="V916" s="13"/>
      <c r="W916" s="13"/>
      <c r="X916" s="13"/>
      <c r="Y916" s="10"/>
      <c r="Z916" s="9"/>
      <c r="AA916" s="9"/>
      <c r="AB916" s="9"/>
      <c r="AC916" s="9"/>
      <c r="AD916" s="9"/>
      <c r="AE916" s="9"/>
      <c r="AF916" s="9"/>
      <c r="AG916" s="9"/>
      <c r="AH916" s="9"/>
      <c r="AI916" s="9"/>
    </row>
    <row r="917" spans="1:35" ht="15.75" customHeight="1" x14ac:dyDescent="0.25">
      <c r="A917" s="10"/>
      <c r="B917" s="13"/>
      <c r="C917" s="13"/>
      <c r="D917" s="13"/>
      <c r="E917" s="13"/>
      <c r="F917" s="13"/>
      <c r="G917" s="13"/>
      <c r="H917" s="13"/>
      <c r="T917" s="13"/>
      <c r="U917" s="13"/>
      <c r="V917" s="13"/>
      <c r="W917" s="13"/>
      <c r="X917" s="13"/>
      <c r="Y917" s="10"/>
      <c r="Z917" s="9"/>
      <c r="AA917" s="9"/>
      <c r="AB917" s="9"/>
      <c r="AC917" s="9"/>
      <c r="AD917" s="9"/>
      <c r="AE917" s="9"/>
      <c r="AF917" s="9"/>
      <c r="AG917" s="9"/>
      <c r="AH917" s="9"/>
      <c r="AI917" s="9"/>
    </row>
    <row r="918" spans="1:35" ht="15.75" customHeight="1" x14ac:dyDescent="0.25">
      <c r="A918" s="10"/>
      <c r="B918" s="13"/>
      <c r="C918" s="13"/>
      <c r="D918" s="13"/>
      <c r="E918" s="13"/>
      <c r="F918" s="13"/>
      <c r="G918" s="13"/>
      <c r="H918" s="13"/>
      <c r="T918" s="13"/>
      <c r="U918" s="13"/>
      <c r="V918" s="13"/>
      <c r="W918" s="13"/>
      <c r="X918" s="13"/>
      <c r="Y918" s="10"/>
      <c r="Z918" s="9"/>
      <c r="AA918" s="9"/>
      <c r="AB918" s="9"/>
      <c r="AC918" s="9"/>
      <c r="AD918" s="9"/>
      <c r="AE918" s="9"/>
      <c r="AF918" s="9"/>
      <c r="AG918" s="9"/>
      <c r="AH918" s="9"/>
      <c r="AI918" s="9"/>
    </row>
    <row r="919" spans="1:35" ht="15.75" customHeight="1" x14ac:dyDescent="0.25">
      <c r="A919" s="10"/>
      <c r="B919" s="13"/>
      <c r="C919" s="13"/>
      <c r="D919" s="13"/>
      <c r="E919" s="13"/>
      <c r="F919" s="13"/>
      <c r="G919" s="13"/>
      <c r="H919" s="13"/>
      <c r="T919" s="13"/>
      <c r="U919" s="13"/>
      <c r="V919" s="13"/>
      <c r="W919" s="13"/>
      <c r="X919" s="13"/>
      <c r="Y919" s="10"/>
      <c r="Z919" s="9"/>
      <c r="AA919" s="9"/>
      <c r="AB919" s="9"/>
      <c r="AC919" s="9"/>
      <c r="AD919" s="9"/>
      <c r="AE919" s="9"/>
      <c r="AF919" s="9"/>
      <c r="AG919" s="9"/>
      <c r="AH919" s="9"/>
      <c r="AI919" s="9"/>
    </row>
    <row r="920" spans="1:35" ht="15.75" customHeight="1" x14ac:dyDescent="0.25">
      <c r="A920" s="10"/>
      <c r="B920" s="13"/>
      <c r="C920" s="13"/>
      <c r="D920" s="13"/>
      <c r="E920" s="13"/>
      <c r="F920" s="13"/>
      <c r="G920" s="13"/>
      <c r="H920" s="13"/>
      <c r="T920" s="13"/>
      <c r="U920" s="13"/>
      <c r="V920" s="13"/>
      <c r="W920" s="13"/>
      <c r="X920" s="13"/>
      <c r="Y920" s="10"/>
      <c r="Z920" s="9"/>
      <c r="AA920" s="9"/>
      <c r="AB920" s="9"/>
      <c r="AC920" s="9"/>
      <c r="AD920" s="9"/>
      <c r="AE920" s="9"/>
      <c r="AF920" s="9"/>
      <c r="AG920" s="9"/>
      <c r="AH920" s="9"/>
      <c r="AI920" s="9"/>
    </row>
    <row r="921" spans="1:35" ht="15.75" customHeight="1" x14ac:dyDescent="0.25">
      <c r="A921" s="10"/>
      <c r="B921" s="13"/>
      <c r="C921" s="13"/>
      <c r="D921" s="13"/>
      <c r="E921" s="13"/>
      <c r="F921" s="13"/>
      <c r="G921" s="13"/>
      <c r="H921" s="13"/>
      <c r="T921" s="13"/>
      <c r="U921" s="13"/>
      <c r="V921" s="13"/>
      <c r="W921" s="13"/>
      <c r="X921" s="13"/>
      <c r="Y921" s="10"/>
      <c r="Z921" s="9"/>
      <c r="AA921" s="9"/>
      <c r="AB921" s="9"/>
      <c r="AC921" s="9"/>
      <c r="AD921" s="9"/>
      <c r="AE921" s="9"/>
      <c r="AF921" s="9"/>
      <c r="AG921" s="9"/>
      <c r="AH921" s="9"/>
      <c r="AI921" s="9"/>
    </row>
    <row r="922" spans="1:35" ht="15.75" customHeight="1" x14ac:dyDescent="0.25">
      <c r="A922" s="10"/>
      <c r="B922" s="13"/>
      <c r="C922" s="13"/>
      <c r="D922" s="13"/>
      <c r="E922" s="13"/>
      <c r="F922" s="13"/>
      <c r="G922" s="13"/>
      <c r="H922" s="13"/>
      <c r="T922" s="13"/>
      <c r="U922" s="13"/>
      <c r="V922" s="13"/>
      <c r="W922" s="13"/>
      <c r="X922" s="13"/>
      <c r="Y922" s="10"/>
      <c r="Z922" s="9"/>
      <c r="AA922" s="9"/>
      <c r="AB922" s="9"/>
      <c r="AC922" s="9"/>
      <c r="AD922" s="9"/>
      <c r="AE922" s="9"/>
      <c r="AF922" s="9"/>
      <c r="AG922" s="9"/>
      <c r="AH922" s="9"/>
      <c r="AI922" s="9"/>
    </row>
    <row r="923" spans="1:35" ht="15.75" customHeight="1" x14ac:dyDescent="0.25">
      <c r="A923" s="10"/>
      <c r="B923" s="13"/>
      <c r="C923" s="13"/>
      <c r="D923" s="13"/>
      <c r="E923" s="13"/>
      <c r="F923" s="13"/>
      <c r="G923" s="13"/>
      <c r="H923" s="13"/>
      <c r="T923" s="13"/>
      <c r="U923" s="13"/>
      <c r="V923" s="13"/>
      <c r="W923" s="13"/>
      <c r="X923" s="13"/>
      <c r="Y923" s="10"/>
      <c r="Z923" s="9"/>
      <c r="AA923" s="9"/>
      <c r="AB923" s="9"/>
      <c r="AC923" s="9"/>
      <c r="AD923" s="9"/>
      <c r="AE923" s="9"/>
      <c r="AF923" s="9"/>
      <c r="AG923" s="9"/>
      <c r="AH923" s="9"/>
      <c r="AI923" s="9"/>
    </row>
    <row r="924" spans="1:35" ht="15.75" customHeight="1" x14ac:dyDescent="0.25">
      <c r="A924" s="10"/>
      <c r="B924" s="13"/>
      <c r="C924" s="13"/>
      <c r="D924" s="13"/>
      <c r="E924" s="13"/>
      <c r="F924" s="13"/>
      <c r="G924" s="13"/>
      <c r="H924" s="13"/>
      <c r="T924" s="13"/>
      <c r="U924" s="13"/>
      <c r="V924" s="13"/>
      <c r="W924" s="13"/>
      <c r="X924" s="13"/>
      <c r="Y924" s="10"/>
      <c r="Z924" s="9"/>
      <c r="AA924" s="9"/>
      <c r="AB924" s="9"/>
      <c r="AC924" s="9"/>
      <c r="AD924" s="9"/>
      <c r="AE924" s="9"/>
      <c r="AF924" s="9"/>
      <c r="AG924" s="9"/>
      <c r="AH924" s="9"/>
      <c r="AI924" s="9"/>
    </row>
    <row r="925" spans="1:35" ht="15.75" customHeight="1" x14ac:dyDescent="0.25">
      <c r="A925" s="10"/>
      <c r="B925" s="13"/>
      <c r="C925" s="13"/>
      <c r="D925" s="13"/>
      <c r="E925" s="13"/>
      <c r="F925" s="13"/>
      <c r="G925" s="13"/>
      <c r="H925" s="13"/>
      <c r="T925" s="13"/>
      <c r="U925" s="13"/>
      <c r="V925" s="13"/>
      <c r="W925" s="13"/>
      <c r="X925" s="13"/>
      <c r="Y925" s="10"/>
      <c r="Z925" s="9"/>
      <c r="AA925" s="9"/>
      <c r="AB925" s="9"/>
      <c r="AC925" s="9"/>
      <c r="AD925" s="9"/>
      <c r="AE925" s="9"/>
      <c r="AF925" s="9"/>
      <c r="AG925" s="9"/>
      <c r="AH925" s="9"/>
      <c r="AI925" s="9"/>
    </row>
    <row r="926" spans="1:35" ht="15.75" customHeight="1" x14ac:dyDescent="0.25">
      <c r="A926" s="10"/>
      <c r="B926" s="13"/>
      <c r="C926" s="13"/>
      <c r="D926" s="13"/>
      <c r="E926" s="13"/>
      <c r="F926" s="13"/>
      <c r="G926" s="13"/>
      <c r="H926" s="13"/>
      <c r="T926" s="13"/>
      <c r="U926" s="13"/>
      <c r="V926" s="13"/>
      <c r="W926" s="13"/>
      <c r="X926" s="13"/>
      <c r="Y926" s="10"/>
      <c r="Z926" s="9"/>
      <c r="AA926" s="9"/>
      <c r="AB926" s="9"/>
      <c r="AC926" s="9"/>
      <c r="AD926" s="9"/>
      <c r="AE926" s="9"/>
      <c r="AF926" s="9"/>
      <c r="AG926" s="9"/>
      <c r="AH926" s="9"/>
      <c r="AI926" s="9"/>
    </row>
    <row r="927" spans="1:35" ht="15.75" customHeight="1" x14ac:dyDescent="0.25">
      <c r="A927" s="10"/>
      <c r="B927" s="13"/>
      <c r="C927" s="13"/>
      <c r="D927" s="13"/>
      <c r="E927" s="13"/>
      <c r="F927" s="13"/>
      <c r="G927" s="13"/>
      <c r="H927" s="13"/>
      <c r="T927" s="13"/>
      <c r="U927" s="13"/>
      <c r="V927" s="13"/>
      <c r="W927" s="13"/>
      <c r="X927" s="13"/>
      <c r="Y927" s="10"/>
      <c r="Z927" s="9"/>
      <c r="AA927" s="9"/>
      <c r="AB927" s="9"/>
      <c r="AC927" s="9"/>
      <c r="AD927" s="9"/>
      <c r="AE927" s="9"/>
      <c r="AF927" s="9"/>
      <c r="AG927" s="9"/>
      <c r="AH927" s="9"/>
      <c r="AI927" s="9"/>
    </row>
    <row r="928" spans="1:35" ht="15.75" customHeight="1" x14ac:dyDescent="0.25">
      <c r="A928" s="10"/>
      <c r="B928" s="13"/>
      <c r="C928" s="13"/>
      <c r="D928" s="13"/>
      <c r="E928" s="13"/>
      <c r="F928" s="13"/>
      <c r="G928" s="13"/>
      <c r="H928" s="13"/>
      <c r="T928" s="13"/>
      <c r="U928" s="13"/>
      <c r="V928" s="13"/>
      <c r="W928" s="13"/>
      <c r="X928" s="13"/>
      <c r="Y928" s="10"/>
      <c r="Z928" s="9"/>
      <c r="AA928" s="9"/>
      <c r="AB928" s="9"/>
      <c r="AC928" s="9"/>
      <c r="AD928" s="9"/>
      <c r="AE928" s="9"/>
      <c r="AF928" s="9"/>
      <c r="AG928" s="9"/>
      <c r="AH928" s="9"/>
      <c r="AI928" s="9"/>
    </row>
    <row r="929" spans="1:35" ht="15.75" customHeight="1" x14ac:dyDescent="0.25">
      <c r="A929" s="10"/>
      <c r="B929" s="13"/>
      <c r="C929" s="13"/>
      <c r="D929" s="13"/>
      <c r="E929" s="13"/>
      <c r="F929" s="13"/>
      <c r="G929" s="13"/>
      <c r="H929" s="13"/>
      <c r="T929" s="13"/>
      <c r="U929" s="13"/>
      <c r="V929" s="13"/>
      <c r="W929" s="13"/>
      <c r="X929" s="13"/>
      <c r="Y929" s="10"/>
      <c r="Z929" s="9"/>
      <c r="AA929" s="9"/>
      <c r="AB929" s="9"/>
      <c r="AC929" s="9"/>
      <c r="AD929" s="9"/>
      <c r="AE929" s="9"/>
      <c r="AF929" s="9"/>
      <c r="AG929" s="9"/>
      <c r="AH929" s="9"/>
      <c r="AI929" s="9"/>
    </row>
    <row r="930" spans="1:35" ht="15.75" customHeight="1" x14ac:dyDescent="0.25">
      <c r="A930" s="10"/>
      <c r="B930" s="13"/>
      <c r="C930" s="13"/>
      <c r="D930" s="13"/>
      <c r="E930" s="13"/>
      <c r="F930" s="13"/>
      <c r="G930" s="13"/>
      <c r="H930" s="13"/>
      <c r="T930" s="13"/>
      <c r="U930" s="13"/>
      <c r="V930" s="13"/>
      <c r="W930" s="13"/>
      <c r="X930" s="13"/>
      <c r="Y930" s="10"/>
      <c r="Z930" s="9"/>
      <c r="AA930" s="9"/>
      <c r="AB930" s="9"/>
      <c r="AC930" s="9"/>
      <c r="AD930" s="9"/>
      <c r="AE930" s="9"/>
      <c r="AF930" s="9"/>
      <c r="AG930" s="9"/>
      <c r="AH930" s="9"/>
      <c r="AI930" s="9"/>
    </row>
    <row r="931" spans="1:35" ht="15.75" customHeight="1" x14ac:dyDescent="0.25">
      <c r="A931" s="10"/>
      <c r="B931" s="13"/>
      <c r="C931" s="13"/>
      <c r="D931" s="13"/>
      <c r="E931" s="13"/>
      <c r="F931" s="13"/>
      <c r="G931" s="13"/>
      <c r="H931" s="13"/>
      <c r="T931" s="13"/>
      <c r="U931" s="13"/>
      <c r="V931" s="13"/>
      <c r="W931" s="13"/>
      <c r="X931" s="13"/>
      <c r="Y931" s="10"/>
      <c r="Z931" s="9"/>
      <c r="AA931" s="9"/>
      <c r="AB931" s="9"/>
      <c r="AC931" s="9"/>
      <c r="AD931" s="9"/>
      <c r="AE931" s="9"/>
      <c r="AF931" s="9"/>
      <c r="AG931" s="9"/>
      <c r="AH931" s="9"/>
      <c r="AI931" s="9"/>
    </row>
    <row r="932" spans="1:35" ht="15.75" customHeight="1" x14ac:dyDescent="0.25">
      <c r="A932" s="10"/>
      <c r="B932" s="13"/>
      <c r="C932" s="13"/>
      <c r="D932" s="13"/>
      <c r="E932" s="13"/>
      <c r="F932" s="13"/>
      <c r="G932" s="13"/>
      <c r="H932" s="13"/>
      <c r="T932" s="13"/>
      <c r="U932" s="13"/>
      <c r="V932" s="13"/>
      <c r="W932" s="13"/>
      <c r="X932" s="13"/>
      <c r="Y932" s="10"/>
      <c r="Z932" s="9"/>
      <c r="AA932" s="9"/>
      <c r="AB932" s="9"/>
      <c r="AC932" s="9"/>
      <c r="AD932" s="9"/>
      <c r="AE932" s="9"/>
      <c r="AF932" s="9"/>
      <c r="AG932" s="9"/>
      <c r="AH932" s="9"/>
      <c r="AI932" s="9"/>
    </row>
    <row r="933" spans="1:35" ht="15.75" customHeight="1" x14ac:dyDescent="0.25">
      <c r="A933" s="10"/>
      <c r="B933" s="13"/>
      <c r="C933" s="13"/>
      <c r="D933" s="13"/>
      <c r="E933" s="13"/>
      <c r="F933" s="13"/>
      <c r="G933" s="13"/>
      <c r="H933" s="13"/>
      <c r="T933" s="13"/>
      <c r="U933" s="13"/>
      <c r="V933" s="13"/>
      <c r="W933" s="13"/>
      <c r="X933" s="13"/>
      <c r="Y933" s="10"/>
      <c r="Z933" s="9"/>
      <c r="AA933" s="9"/>
      <c r="AB933" s="9"/>
      <c r="AC933" s="9"/>
      <c r="AD933" s="9"/>
      <c r="AE933" s="9"/>
      <c r="AF933" s="9"/>
      <c r="AG933" s="9"/>
      <c r="AH933" s="9"/>
      <c r="AI933" s="9"/>
    </row>
    <row r="934" spans="1:35" ht="15.75" customHeight="1" x14ac:dyDescent="0.25">
      <c r="A934" s="10"/>
      <c r="B934" s="13"/>
      <c r="C934" s="13"/>
      <c r="D934" s="13"/>
      <c r="E934" s="13"/>
      <c r="F934" s="13"/>
      <c r="G934" s="13"/>
      <c r="H934" s="13"/>
      <c r="T934" s="13"/>
      <c r="U934" s="13"/>
      <c r="V934" s="13"/>
      <c r="W934" s="13"/>
      <c r="X934" s="13"/>
      <c r="Y934" s="10"/>
      <c r="Z934" s="9"/>
      <c r="AA934" s="9"/>
      <c r="AB934" s="9"/>
      <c r="AC934" s="9"/>
      <c r="AD934" s="9"/>
      <c r="AE934" s="9"/>
      <c r="AF934" s="9"/>
      <c r="AG934" s="9"/>
      <c r="AH934" s="9"/>
      <c r="AI934" s="9"/>
    </row>
    <row r="935" spans="1:35" ht="15.75" customHeight="1" x14ac:dyDescent="0.25">
      <c r="A935" s="10"/>
      <c r="B935" s="13"/>
      <c r="C935" s="13"/>
      <c r="D935" s="13"/>
      <c r="E935" s="13"/>
      <c r="F935" s="13"/>
      <c r="G935" s="13"/>
      <c r="H935" s="13"/>
      <c r="T935" s="13"/>
      <c r="U935" s="13"/>
      <c r="V935" s="13"/>
      <c r="W935" s="13"/>
      <c r="X935" s="13"/>
      <c r="Y935" s="10"/>
      <c r="Z935" s="9"/>
      <c r="AA935" s="9"/>
      <c r="AB935" s="9"/>
      <c r="AC935" s="9"/>
      <c r="AD935" s="9"/>
      <c r="AE935" s="9"/>
      <c r="AF935" s="9"/>
      <c r="AG935" s="9"/>
      <c r="AH935" s="9"/>
      <c r="AI935" s="9"/>
    </row>
    <row r="936" spans="1:35" ht="15.75" customHeight="1" x14ac:dyDescent="0.25">
      <c r="A936" s="10"/>
      <c r="B936" s="13"/>
      <c r="C936" s="13"/>
      <c r="D936" s="13"/>
      <c r="E936" s="13"/>
      <c r="F936" s="13"/>
      <c r="G936" s="13"/>
      <c r="H936" s="13"/>
      <c r="T936" s="13"/>
      <c r="U936" s="13"/>
      <c r="V936" s="13"/>
      <c r="W936" s="13"/>
      <c r="X936" s="13"/>
      <c r="Y936" s="10"/>
      <c r="Z936" s="9"/>
      <c r="AA936" s="9"/>
      <c r="AB936" s="9"/>
      <c r="AC936" s="9"/>
      <c r="AD936" s="9"/>
      <c r="AE936" s="9"/>
      <c r="AF936" s="9"/>
      <c r="AG936" s="9"/>
      <c r="AH936" s="9"/>
      <c r="AI936" s="9"/>
    </row>
    <row r="937" spans="1:35" ht="15.75" customHeight="1" x14ac:dyDescent="0.25">
      <c r="A937" s="10"/>
      <c r="B937" s="13"/>
      <c r="C937" s="13"/>
      <c r="D937" s="13"/>
      <c r="E937" s="13"/>
      <c r="F937" s="13"/>
      <c r="G937" s="13"/>
      <c r="H937" s="13"/>
      <c r="T937" s="13"/>
      <c r="U937" s="13"/>
      <c r="V937" s="13"/>
      <c r="W937" s="13"/>
      <c r="X937" s="13"/>
      <c r="Y937" s="10"/>
      <c r="Z937" s="9"/>
      <c r="AA937" s="9"/>
      <c r="AB937" s="9"/>
      <c r="AC937" s="9"/>
      <c r="AD937" s="9"/>
      <c r="AE937" s="9"/>
      <c r="AF937" s="9"/>
      <c r="AG937" s="9"/>
      <c r="AH937" s="9"/>
      <c r="AI937" s="9"/>
    </row>
    <row r="938" spans="1:35" ht="15.75" customHeight="1" x14ac:dyDescent="0.25">
      <c r="A938" s="10"/>
      <c r="B938" s="13"/>
      <c r="C938" s="13"/>
      <c r="D938" s="13"/>
      <c r="E938" s="13"/>
      <c r="F938" s="13"/>
      <c r="G938" s="13"/>
      <c r="H938" s="13"/>
      <c r="T938" s="13"/>
      <c r="U938" s="13"/>
      <c r="V938" s="13"/>
      <c r="W938" s="13"/>
      <c r="X938" s="13"/>
      <c r="Y938" s="10"/>
      <c r="Z938" s="9"/>
      <c r="AA938" s="9"/>
      <c r="AB938" s="9"/>
      <c r="AC938" s="9"/>
      <c r="AD938" s="9"/>
      <c r="AE938" s="9"/>
      <c r="AF938" s="9"/>
      <c r="AG938" s="9"/>
      <c r="AH938" s="9"/>
      <c r="AI938" s="9"/>
    </row>
    <row r="939" spans="1:35" ht="15.75" customHeight="1" x14ac:dyDescent="0.25">
      <c r="A939" s="10"/>
      <c r="B939" s="13"/>
      <c r="C939" s="13"/>
      <c r="D939" s="13"/>
      <c r="E939" s="13"/>
      <c r="F939" s="13"/>
      <c r="G939" s="13"/>
      <c r="H939" s="13"/>
      <c r="T939" s="13"/>
      <c r="U939" s="13"/>
      <c r="V939" s="13"/>
      <c r="W939" s="13"/>
      <c r="X939" s="13"/>
      <c r="Y939" s="10"/>
      <c r="Z939" s="9"/>
      <c r="AA939" s="9"/>
      <c r="AB939" s="9"/>
      <c r="AC939" s="9"/>
      <c r="AD939" s="9"/>
      <c r="AE939" s="9"/>
      <c r="AF939" s="9"/>
      <c r="AG939" s="9"/>
      <c r="AH939" s="9"/>
      <c r="AI939" s="9"/>
    </row>
    <row r="940" spans="1:35" ht="15.75" customHeight="1" x14ac:dyDescent="0.25">
      <c r="A940" s="10"/>
      <c r="B940" s="13"/>
      <c r="C940" s="13"/>
      <c r="D940" s="13"/>
      <c r="E940" s="13"/>
      <c r="F940" s="13"/>
      <c r="G940" s="13"/>
      <c r="H940" s="13"/>
      <c r="T940" s="13"/>
      <c r="U940" s="13"/>
      <c r="V940" s="13"/>
      <c r="W940" s="13"/>
      <c r="X940" s="13"/>
      <c r="Y940" s="10"/>
      <c r="Z940" s="9"/>
      <c r="AA940" s="9"/>
      <c r="AB940" s="9"/>
      <c r="AC940" s="9"/>
      <c r="AD940" s="9"/>
      <c r="AE940" s="9"/>
      <c r="AF940" s="9"/>
      <c r="AG940" s="9"/>
      <c r="AH940" s="9"/>
      <c r="AI940" s="9"/>
    </row>
    <row r="941" spans="1:35" ht="15.75" customHeight="1" x14ac:dyDescent="0.25">
      <c r="A941" s="10"/>
      <c r="B941" s="13"/>
      <c r="C941" s="13"/>
      <c r="D941" s="13"/>
      <c r="E941" s="13"/>
      <c r="F941" s="13"/>
      <c r="G941" s="13"/>
      <c r="H941" s="13"/>
      <c r="T941" s="13"/>
      <c r="U941" s="13"/>
      <c r="V941" s="13"/>
      <c r="W941" s="13"/>
      <c r="X941" s="13"/>
      <c r="Y941" s="10"/>
      <c r="Z941" s="9"/>
      <c r="AA941" s="9"/>
      <c r="AB941" s="9"/>
      <c r="AC941" s="9"/>
      <c r="AD941" s="9"/>
      <c r="AE941" s="9"/>
      <c r="AF941" s="9"/>
      <c r="AG941" s="9"/>
      <c r="AH941" s="9"/>
      <c r="AI941" s="9"/>
    </row>
    <row r="942" spans="1:35" ht="15.75" customHeight="1" x14ac:dyDescent="0.25">
      <c r="A942" s="10"/>
      <c r="B942" s="13"/>
      <c r="C942" s="13"/>
      <c r="D942" s="13"/>
      <c r="E942" s="13"/>
      <c r="F942" s="13"/>
      <c r="G942" s="13"/>
      <c r="H942" s="13"/>
      <c r="T942" s="13"/>
      <c r="U942" s="13"/>
      <c r="V942" s="13"/>
      <c r="W942" s="13"/>
      <c r="X942" s="13"/>
      <c r="Y942" s="10"/>
      <c r="Z942" s="9"/>
      <c r="AA942" s="9"/>
      <c r="AB942" s="9"/>
      <c r="AC942" s="9"/>
      <c r="AD942" s="9"/>
      <c r="AE942" s="9"/>
      <c r="AF942" s="9"/>
      <c r="AG942" s="9"/>
      <c r="AH942" s="9"/>
      <c r="AI942" s="9"/>
    </row>
    <row r="943" spans="1:35" ht="15.75" customHeight="1" x14ac:dyDescent="0.25">
      <c r="A943" s="10"/>
      <c r="B943" s="13"/>
      <c r="C943" s="13"/>
      <c r="D943" s="13"/>
      <c r="E943" s="13"/>
      <c r="F943" s="13"/>
      <c r="G943" s="13"/>
      <c r="H943" s="13"/>
      <c r="T943" s="13"/>
      <c r="U943" s="13"/>
      <c r="V943" s="13"/>
      <c r="W943" s="13"/>
      <c r="X943" s="13"/>
      <c r="Y943" s="10"/>
      <c r="Z943" s="9"/>
      <c r="AA943" s="9"/>
      <c r="AB943" s="9"/>
      <c r="AC943" s="9"/>
      <c r="AD943" s="9"/>
      <c r="AE943" s="9"/>
      <c r="AF943" s="9"/>
      <c r="AG943" s="9"/>
      <c r="AH943" s="9"/>
      <c r="AI943" s="9"/>
    </row>
    <row r="944" spans="1:35" ht="15.75" customHeight="1" x14ac:dyDescent="0.25">
      <c r="A944" s="10"/>
      <c r="B944" s="13"/>
      <c r="C944" s="13"/>
      <c r="D944" s="13"/>
      <c r="E944" s="13"/>
      <c r="F944" s="13"/>
      <c r="G944" s="13"/>
      <c r="H944" s="13"/>
      <c r="T944" s="13"/>
      <c r="U944" s="13"/>
      <c r="V944" s="13"/>
      <c r="W944" s="13"/>
      <c r="X944" s="13"/>
      <c r="Y944" s="10"/>
      <c r="Z944" s="9"/>
      <c r="AA944" s="9"/>
      <c r="AB944" s="9"/>
      <c r="AC944" s="9"/>
      <c r="AD944" s="9"/>
      <c r="AE944" s="9"/>
      <c r="AF944" s="9"/>
      <c r="AG944" s="9"/>
      <c r="AH944" s="9"/>
      <c r="AI944" s="9"/>
    </row>
    <row r="945" spans="1:35" ht="15.75" customHeight="1" x14ac:dyDescent="0.25">
      <c r="A945" s="10"/>
      <c r="B945" s="13"/>
      <c r="C945" s="13"/>
      <c r="D945" s="13"/>
      <c r="E945" s="13"/>
      <c r="F945" s="13"/>
      <c r="G945" s="13"/>
      <c r="H945" s="13"/>
      <c r="T945" s="13"/>
      <c r="U945" s="13"/>
      <c r="V945" s="13"/>
      <c r="W945" s="13"/>
      <c r="X945" s="13"/>
      <c r="Y945" s="10"/>
      <c r="Z945" s="9"/>
      <c r="AA945" s="9"/>
      <c r="AB945" s="9"/>
      <c r="AC945" s="9"/>
      <c r="AD945" s="9"/>
      <c r="AE945" s="9"/>
      <c r="AF945" s="9"/>
      <c r="AG945" s="9"/>
      <c r="AH945" s="9"/>
      <c r="AI945" s="9"/>
    </row>
    <row r="946" spans="1:35" ht="15.75" customHeight="1" x14ac:dyDescent="0.25">
      <c r="A946" s="10"/>
      <c r="B946" s="13"/>
      <c r="C946" s="13"/>
      <c r="D946" s="13"/>
      <c r="E946" s="13"/>
      <c r="F946" s="13"/>
      <c r="G946" s="13"/>
      <c r="H946" s="13"/>
      <c r="T946" s="13"/>
      <c r="U946" s="13"/>
      <c r="V946" s="13"/>
      <c r="W946" s="13"/>
      <c r="X946" s="13"/>
      <c r="Y946" s="10"/>
      <c r="Z946" s="9"/>
      <c r="AA946" s="9"/>
      <c r="AB946" s="9"/>
      <c r="AC946" s="9"/>
      <c r="AD946" s="9"/>
      <c r="AE946" s="9"/>
      <c r="AF946" s="9"/>
      <c r="AG946" s="9"/>
      <c r="AH946" s="9"/>
      <c r="AI946" s="9"/>
    </row>
    <row r="947" spans="1:35" ht="15.75" customHeight="1" x14ac:dyDescent="0.25">
      <c r="A947" s="10"/>
      <c r="B947" s="13"/>
      <c r="C947" s="13"/>
      <c r="D947" s="13"/>
      <c r="E947" s="13"/>
      <c r="F947" s="13"/>
      <c r="G947" s="13"/>
      <c r="H947" s="13"/>
      <c r="T947" s="13"/>
      <c r="U947" s="13"/>
      <c r="V947" s="13"/>
      <c r="W947" s="13"/>
      <c r="X947" s="13"/>
      <c r="Y947" s="10"/>
      <c r="Z947" s="9"/>
      <c r="AA947" s="9"/>
      <c r="AB947" s="9"/>
      <c r="AC947" s="9"/>
      <c r="AD947" s="9"/>
      <c r="AE947" s="9"/>
      <c r="AF947" s="9"/>
      <c r="AG947" s="9"/>
      <c r="AH947" s="9"/>
      <c r="AI947" s="9"/>
    </row>
    <row r="948" spans="1:35" ht="15.75" customHeight="1" x14ac:dyDescent="0.25">
      <c r="A948" s="10"/>
      <c r="B948" s="13"/>
      <c r="C948" s="13"/>
      <c r="D948" s="13"/>
      <c r="E948" s="13"/>
      <c r="F948" s="13"/>
      <c r="G948" s="13"/>
      <c r="H948" s="13"/>
      <c r="T948" s="13"/>
      <c r="U948" s="13"/>
      <c r="V948" s="13"/>
      <c r="W948" s="13"/>
      <c r="X948" s="13"/>
      <c r="Y948" s="10"/>
      <c r="Z948" s="9"/>
      <c r="AA948" s="9"/>
      <c r="AB948" s="9"/>
      <c r="AC948" s="9"/>
      <c r="AD948" s="9"/>
      <c r="AE948" s="9"/>
      <c r="AF948" s="9"/>
      <c r="AG948" s="9"/>
      <c r="AH948" s="9"/>
      <c r="AI948" s="9"/>
    </row>
    <row r="949" spans="1:35" ht="15.75" customHeight="1" x14ac:dyDescent="0.25">
      <c r="A949" s="10"/>
      <c r="B949" s="13"/>
      <c r="C949" s="13"/>
      <c r="D949" s="13"/>
      <c r="E949" s="13"/>
      <c r="F949" s="13"/>
      <c r="G949" s="13"/>
      <c r="H949" s="13"/>
      <c r="T949" s="13"/>
      <c r="U949" s="13"/>
      <c r="V949" s="13"/>
      <c r="W949" s="13"/>
      <c r="X949" s="13"/>
      <c r="Y949" s="10"/>
      <c r="Z949" s="9"/>
      <c r="AA949" s="9"/>
      <c r="AB949" s="9"/>
      <c r="AC949" s="9"/>
      <c r="AD949" s="9"/>
      <c r="AE949" s="9"/>
      <c r="AF949" s="9"/>
      <c r="AG949" s="9"/>
      <c r="AH949" s="9"/>
      <c r="AI949" s="9"/>
    </row>
    <row r="950" spans="1:35" ht="15.75" customHeight="1" x14ac:dyDescent="0.25">
      <c r="A950" s="10"/>
      <c r="B950" s="13"/>
      <c r="C950" s="13"/>
      <c r="D950" s="13"/>
      <c r="E950" s="13"/>
      <c r="F950" s="13"/>
      <c r="G950" s="13"/>
      <c r="H950" s="13"/>
      <c r="T950" s="13"/>
      <c r="U950" s="13"/>
      <c r="V950" s="13"/>
      <c r="W950" s="13"/>
      <c r="X950" s="13"/>
      <c r="Y950" s="10"/>
      <c r="Z950" s="9"/>
      <c r="AA950" s="9"/>
      <c r="AB950" s="9"/>
      <c r="AC950" s="9"/>
      <c r="AD950" s="9"/>
      <c r="AE950" s="9"/>
      <c r="AF950" s="9"/>
      <c r="AG950" s="9"/>
      <c r="AH950" s="9"/>
      <c r="AI950" s="9"/>
    </row>
    <row r="951" spans="1:35" ht="15.75" customHeight="1" x14ac:dyDescent="0.25">
      <c r="A951" s="10"/>
      <c r="B951" s="13"/>
      <c r="C951" s="13"/>
      <c r="D951" s="13"/>
      <c r="E951" s="13"/>
      <c r="F951" s="13"/>
      <c r="G951" s="13"/>
      <c r="H951" s="13"/>
      <c r="T951" s="13"/>
      <c r="U951" s="13"/>
      <c r="V951" s="13"/>
      <c r="W951" s="13"/>
      <c r="X951" s="13"/>
      <c r="Y951" s="10"/>
      <c r="Z951" s="9"/>
      <c r="AA951" s="9"/>
      <c r="AB951" s="9"/>
      <c r="AC951" s="9"/>
      <c r="AD951" s="9"/>
      <c r="AE951" s="9"/>
      <c r="AF951" s="9"/>
      <c r="AG951" s="9"/>
      <c r="AH951" s="9"/>
      <c r="AI951" s="9"/>
    </row>
    <row r="952" spans="1:35" ht="15.75" customHeight="1" x14ac:dyDescent="0.25">
      <c r="A952" s="10"/>
      <c r="B952" s="13"/>
      <c r="C952" s="13"/>
      <c r="D952" s="13"/>
      <c r="E952" s="13"/>
      <c r="F952" s="13"/>
      <c r="G952" s="13"/>
      <c r="H952" s="13"/>
      <c r="T952" s="13"/>
      <c r="U952" s="13"/>
      <c r="V952" s="13"/>
      <c r="W952" s="13"/>
      <c r="X952" s="13"/>
      <c r="Y952" s="10"/>
      <c r="Z952" s="9"/>
      <c r="AA952" s="9"/>
      <c r="AB952" s="9"/>
      <c r="AC952" s="9"/>
      <c r="AD952" s="9"/>
      <c r="AE952" s="9"/>
      <c r="AF952" s="9"/>
      <c r="AG952" s="9"/>
      <c r="AH952" s="9"/>
      <c r="AI952" s="9"/>
    </row>
    <row r="953" spans="1:35" ht="15.75" customHeight="1" x14ac:dyDescent="0.25">
      <c r="A953" s="10"/>
      <c r="B953" s="13"/>
      <c r="C953" s="13"/>
      <c r="D953" s="13"/>
      <c r="E953" s="13"/>
      <c r="F953" s="13"/>
      <c r="G953" s="13"/>
      <c r="H953" s="13"/>
      <c r="T953" s="13"/>
      <c r="U953" s="13"/>
      <c r="V953" s="13"/>
      <c r="W953" s="13"/>
      <c r="X953" s="13"/>
      <c r="Y953" s="10"/>
      <c r="Z953" s="9"/>
      <c r="AA953" s="9"/>
      <c r="AB953" s="9"/>
      <c r="AC953" s="9"/>
      <c r="AD953" s="9"/>
      <c r="AE953" s="9"/>
      <c r="AF953" s="9"/>
      <c r="AG953" s="9"/>
      <c r="AH953" s="9"/>
      <c r="AI953" s="9"/>
    </row>
    <row r="954" spans="1:35" ht="15.75" customHeight="1" x14ac:dyDescent="0.25">
      <c r="A954" s="10"/>
      <c r="B954" s="13"/>
      <c r="C954" s="13"/>
      <c r="D954" s="13"/>
      <c r="E954" s="13"/>
      <c r="F954" s="13"/>
      <c r="G954" s="13"/>
      <c r="H954" s="13"/>
      <c r="T954" s="13"/>
      <c r="U954" s="13"/>
      <c r="V954" s="13"/>
      <c r="W954" s="13"/>
      <c r="X954" s="13"/>
      <c r="Y954" s="10"/>
      <c r="Z954" s="9"/>
      <c r="AA954" s="9"/>
      <c r="AB954" s="9"/>
      <c r="AC954" s="9"/>
      <c r="AD954" s="9"/>
      <c r="AE954" s="9"/>
      <c r="AF954" s="9"/>
      <c r="AG954" s="9"/>
      <c r="AH954" s="9"/>
      <c r="AI954" s="9"/>
    </row>
    <row r="955" spans="1:35" ht="15.75" customHeight="1" x14ac:dyDescent="0.25">
      <c r="A955" s="10"/>
      <c r="B955" s="13"/>
      <c r="C955" s="13"/>
      <c r="D955" s="13"/>
      <c r="E955" s="13"/>
      <c r="F955" s="13"/>
      <c r="G955" s="13"/>
      <c r="H955" s="13"/>
      <c r="T955" s="13"/>
      <c r="U955" s="13"/>
      <c r="V955" s="13"/>
      <c r="W955" s="13"/>
      <c r="X955" s="13"/>
      <c r="Y955" s="10"/>
      <c r="Z955" s="9"/>
      <c r="AA955" s="9"/>
      <c r="AB955" s="9"/>
      <c r="AC955" s="9"/>
      <c r="AD955" s="9"/>
      <c r="AE955" s="9"/>
      <c r="AF955" s="9"/>
      <c r="AG955" s="9"/>
      <c r="AH955" s="9"/>
      <c r="AI955" s="9"/>
    </row>
    <row r="956" spans="1:35" ht="15.75" customHeight="1" x14ac:dyDescent="0.25">
      <c r="A956" s="10"/>
      <c r="B956" s="13"/>
      <c r="C956" s="13"/>
      <c r="D956" s="13"/>
      <c r="E956" s="13"/>
      <c r="F956" s="13"/>
      <c r="G956" s="13"/>
      <c r="H956" s="13"/>
      <c r="T956" s="13"/>
      <c r="U956" s="13"/>
      <c r="V956" s="13"/>
      <c r="W956" s="13"/>
      <c r="X956" s="13"/>
      <c r="Y956" s="10"/>
      <c r="Z956" s="9"/>
      <c r="AA956" s="9"/>
      <c r="AB956" s="9"/>
      <c r="AC956" s="9"/>
      <c r="AD956" s="9"/>
      <c r="AE956" s="9"/>
      <c r="AF956" s="9"/>
      <c r="AG956" s="9"/>
      <c r="AH956" s="9"/>
      <c r="AI956" s="9"/>
    </row>
    <row r="957" spans="1:35" ht="15.75" customHeight="1" x14ac:dyDescent="0.25">
      <c r="A957" s="10"/>
      <c r="B957" s="13"/>
      <c r="C957" s="13"/>
      <c r="D957" s="13"/>
      <c r="E957" s="13"/>
      <c r="F957" s="13"/>
      <c r="G957" s="13"/>
      <c r="H957" s="13"/>
      <c r="T957" s="13"/>
      <c r="U957" s="13"/>
      <c r="V957" s="13"/>
      <c r="W957" s="13"/>
      <c r="X957" s="13"/>
      <c r="Y957" s="10"/>
      <c r="Z957" s="9"/>
      <c r="AA957" s="9"/>
      <c r="AB957" s="9"/>
      <c r="AC957" s="9"/>
      <c r="AD957" s="9"/>
      <c r="AE957" s="9"/>
      <c r="AF957" s="9"/>
      <c r="AG957" s="9"/>
      <c r="AH957" s="9"/>
      <c r="AI957" s="9"/>
    </row>
    <row r="958" spans="1:35" ht="15.75" customHeight="1" x14ac:dyDescent="0.25">
      <c r="A958" s="10"/>
      <c r="B958" s="13"/>
      <c r="C958" s="13"/>
      <c r="D958" s="13"/>
      <c r="E958" s="13"/>
      <c r="F958" s="13"/>
      <c r="G958" s="13"/>
      <c r="H958" s="13"/>
      <c r="T958" s="13"/>
      <c r="U958" s="13"/>
      <c r="V958" s="13"/>
      <c r="W958" s="13"/>
      <c r="X958" s="13"/>
      <c r="Y958" s="10"/>
      <c r="Z958" s="9"/>
      <c r="AA958" s="9"/>
      <c r="AB958" s="9"/>
      <c r="AC958" s="9"/>
      <c r="AD958" s="9"/>
      <c r="AE958" s="9"/>
      <c r="AF958" s="9"/>
      <c r="AG958" s="9"/>
      <c r="AH958" s="9"/>
      <c r="AI958" s="9"/>
    </row>
    <row r="959" spans="1:35" ht="15.75" customHeight="1" x14ac:dyDescent="0.25">
      <c r="A959" s="10"/>
      <c r="B959" s="13"/>
      <c r="C959" s="13"/>
      <c r="D959" s="13"/>
      <c r="E959" s="13"/>
      <c r="F959" s="13"/>
      <c r="G959" s="13"/>
      <c r="H959" s="13"/>
      <c r="T959" s="13"/>
      <c r="U959" s="13"/>
      <c r="V959" s="13"/>
      <c r="W959" s="13"/>
      <c r="X959" s="13"/>
      <c r="Y959" s="10"/>
      <c r="Z959" s="9"/>
      <c r="AA959" s="9"/>
      <c r="AB959" s="9"/>
      <c r="AC959" s="9"/>
      <c r="AD959" s="9"/>
      <c r="AE959" s="9"/>
      <c r="AF959" s="9"/>
      <c r="AG959" s="9"/>
      <c r="AH959" s="9"/>
      <c r="AI959" s="9"/>
    </row>
    <row r="960" spans="1:35" ht="15.75" customHeight="1" x14ac:dyDescent="0.25">
      <c r="A960" s="10"/>
      <c r="B960" s="13"/>
      <c r="C960" s="13"/>
      <c r="D960" s="13"/>
      <c r="E960" s="13"/>
      <c r="F960" s="13"/>
      <c r="G960" s="13"/>
      <c r="H960" s="13"/>
      <c r="T960" s="13"/>
      <c r="U960" s="13"/>
      <c r="V960" s="13"/>
      <c r="W960" s="13"/>
      <c r="X960" s="13"/>
      <c r="Y960" s="10"/>
      <c r="Z960" s="9"/>
      <c r="AA960" s="9"/>
      <c r="AB960" s="9"/>
      <c r="AC960" s="9"/>
      <c r="AD960" s="9"/>
      <c r="AE960" s="9"/>
      <c r="AF960" s="9"/>
      <c r="AG960" s="9"/>
      <c r="AH960" s="9"/>
      <c r="AI960" s="9"/>
    </row>
    <row r="961" spans="1:35" ht="15.75" customHeight="1" x14ac:dyDescent="0.25">
      <c r="A961" s="10"/>
      <c r="B961" s="13"/>
      <c r="C961" s="13"/>
      <c r="D961" s="13"/>
      <c r="E961" s="13"/>
      <c r="F961" s="13"/>
      <c r="G961" s="13"/>
      <c r="H961" s="13"/>
      <c r="T961" s="13"/>
      <c r="U961" s="13"/>
      <c r="V961" s="13"/>
      <c r="W961" s="13"/>
      <c r="X961" s="13"/>
      <c r="Y961" s="10"/>
      <c r="Z961" s="9"/>
      <c r="AA961" s="9"/>
      <c r="AB961" s="9"/>
      <c r="AC961" s="9"/>
      <c r="AD961" s="9"/>
      <c r="AE961" s="9"/>
      <c r="AF961" s="9"/>
      <c r="AG961" s="9"/>
      <c r="AH961" s="9"/>
      <c r="AI961" s="9"/>
    </row>
    <row r="962" spans="1:35" ht="15.75" customHeight="1" x14ac:dyDescent="0.25">
      <c r="A962" s="10"/>
      <c r="B962" s="13"/>
      <c r="C962" s="13"/>
      <c r="D962" s="13"/>
      <c r="E962" s="13"/>
      <c r="F962" s="13"/>
      <c r="G962" s="13"/>
      <c r="H962" s="13"/>
      <c r="T962" s="13"/>
      <c r="U962" s="13"/>
      <c r="V962" s="13"/>
      <c r="W962" s="13"/>
      <c r="X962" s="13"/>
      <c r="Y962" s="10"/>
      <c r="Z962" s="9"/>
      <c r="AA962" s="9"/>
      <c r="AB962" s="9"/>
      <c r="AC962" s="9"/>
      <c r="AD962" s="9"/>
      <c r="AE962" s="9"/>
      <c r="AF962" s="9"/>
      <c r="AG962" s="9"/>
      <c r="AH962" s="9"/>
      <c r="AI962" s="9"/>
    </row>
    <row r="963" spans="1:35" ht="15.75" customHeight="1" x14ac:dyDescent="0.25">
      <c r="A963" s="10"/>
      <c r="B963" s="13"/>
      <c r="C963" s="13"/>
      <c r="D963" s="13"/>
      <c r="E963" s="13"/>
      <c r="F963" s="13"/>
      <c r="G963" s="13"/>
      <c r="H963" s="13"/>
      <c r="T963" s="13"/>
      <c r="U963" s="13"/>
      <c r="V963" s="13"/>
      <c r="W963" s="13"/>
      <c r="X963" s="13"/>
      <c r="Y963" s="10"/>
      <c r="Z963" s="9"/>
      <c r="AA963" s="9"/>
      <c r="AB963" s="9"/>
      <c r="AC963" s="9"/>
      <c r="AD963" s="9"/>
      <c r="AE963" s="9"/>
      <c r="AF963" s="9"/>
      <c r="AG963" s="9"/>
      <c r="AH963" s="9"/>
      <c r="AI963" s="9"/>
    </row>
    <row r="964" spans="1:35" ht="15.75" customHeight="1" x14ac:dyDescent="0.25">
      <c r="A964" s="10"/>
      <c r="B964" s="13"/>
      <c r="C964" s="13"/>
      <c r="D964" s="13"/>
      <c r="E964" s="13"/>
      <c r="F964" s="13"/>
      <c r="G964" s="13"/>
      <c r="H964" s="13"/>
      <c r="T964" s="13"/>
      <c r="U964" s="13"/>
      <c r="V964" s="13"/>
      <c r="W964" s="13"/>
      <c r="X964" s="13"/>
      <c r="Y964" s="10"/>
      <c r="Z964" s="9"/>
      <c r="AA964" s="9"/>
      <c r="AB964" s="9"/>
      <c r="AC964" s="9"/>
      <c r="AD964" s="9"/>
      <c r="AE964" s="9"/>
      <c r="AF964" s="9"/>
      <c r="AG964" s="9"/>
      <c r="AH964" s="9"/>
      <c r="AI964" s="9"/>
    </row>
    <row r="965" spans="1:35" ht="15.75" customHeight="1" x14ac:dyDescent="0.25">
      <c r="A965" s="10"/>
      <c r="B965" s="13"/>
      <c r="C965" s="13"/>
      <c r="D965" s="13"/>
      <c r="E965" s="13"/>
      <c r="F965" s="13"/>
      <c r="G965" s="13"/>
      <c r="H965" s="13"/>
      <c r="T965" s="13"/>
      <c r="U965" s="13"/>
      <c r="V965" s="13"/>
      <c r="W965" s="13"/>
      <c r="X965" s="13"/>
      <c r="Y965" s="10"/>
      <c r="Z965" s="9"/>
      <c r="AA965" s="9"/>
      <c r="AB965" s="9"/>
      <c r="AC965" s="9"/>
      <c r="AD965" s="9"/>
      <c r="AE965" s="9"/>
      <c r="AF965" s="9"/>
      <c r="AG965" s="9"/>
      <c r="AH965" s="9"/>
      <c r="AI965" s="9"/>
    </row>
    <row r="966" spans="1:35" ht="15.75" customHeight="1" x14ac:dyDescent="0.25">
      <c r="A966" s="10"/>
      <c r="B966" s="13"/>
      <c r="C966" s="13"/>
      <c r="D966" s="13"/>
      <c r="E966" s="13"/>
      <c r="F966" s="13"/>
      <c r="G966" s="13"/>
      <c r="H966" s="13"/>
      <c r="T966" s="13"/>
      <c r="U966" s="13"/>
      <c r="V966" s="13"/>
      <c r="W966" s="13"/>
      <c r="X966" s="13"/>
      <c r="Y966" s="10"/>
      <c r="Z966" s="9"/>
      <c r="AA966" s="9"/>
      <c r="AB966" s="9"/>
      <c r="AC966" s="9"/>
      <c r="AD966" s="9"/>
      <c r="AE966" s="9"/>
      <c r="AF966" s="9"/>
      <c r="AG966" s="9"/>
      <c r="AH966" s="9"/>
      <c r="AI966" s="9"/>
    </row>
    <row r="967" spans="1:35" ht="15.75" customHeight="1" x14ac:dyDescent="0.25">
      <c r="A967" s="10"/>
      <c r="B967" s="13"/>
      <c r="C967" s="13"/>
      <c r="D967" s="13"/>
      <c r="E967" s="13"/>
      <c r="F967" s="13"/>
      <c r="G967" s="13"/>
      <c r="H967" s="13"/>
      <c r="T967" s="13"/>
      <c r="U967" s="13"/>
      <c r="V967" s="13"/>
      <c r="W967" s="13"/>
      <c r="X967" s="13"/>
      <c r="Y967" s="10"/>
      <c r="Z967" s="9"/>
      <c r="AA967" s="9"/>
      <c r="AB967" s="9"/>
      <c r="AC967" s="9"/>
      <c r="AD967" s="9"/>
      <c r="AE967" s="9"/>
      <c r="AF967" s="9"/>
      <c r="AG967" s="9"/>
      <c r="AH967" s="9"/>
      <c r="AI967" s="9"/>
    </row>
    <row r="968" spans="1:35" ht="15.75" customHeight="1" x14ac:dyDescent="0.25">
      <c r="A968" s="10"/>
      <c r="B968" s="13"/>
      <c r="C968" s="13"/>
      <c r="D968" s="13"/>
      <c r="E968" s="13"/>
      <c r="F968" s="13"/>
      <c r="G968" s="13"/>
      <c r="H968" s="13"/>
      <c r="T968" s="13"/>
      <c r="U968" s="13"/>
      <c r="V968" s="13"/>
      <c r="W968" s="13"/>
      <c r="X968" s="13"/>
      <c r="Y968" s="10"/>
      <c r="Z968" s="9"/>
      <c r="AA968" s="9"/>
      <c r="AB968" s="9"/>
      <c r="AC968" s="9"/>
      <c r="AD968" s="9"/>
      <c r="AE968" s="9"/>
      <c r="AF968" s="9"/>
      <c r="AG968" s="9"/>
      <c r="AH968" s="9"/>
      <c r="AI968" s="9"/>
    </row>
    <row r="969" spans="1:35" ht="15.75" customHeight="1" x14ac:dyDescent="0.25">
      <c r="A969" s="10"/>
      <c r="B969" s="13"/>
      <c r="C969" s="13"/>
      <c r="D969" s="13"/>
      <c r="E969" s="13"/>
      <c r="F969" s="13"/>
      <c r="G969" s="13"/>
      <c r="H969" s="13"/>
      <c r="T969" s="13"/>
      <c r="U969" s="13"/>
      <c r="V969" s="13"/>
      <c r="W969" s="13"/>
      <c r="X969" s="13"/>
      <c r="Y969" s="10"/>
      <c r="Z969" s="9"/>
      <c r="AA969" s="9"/>
      <c r="AB969" s="9"/>
      <c r="AC969" s="9"/>
      <c r="AD969" s="9"/>
      <c r="AE969" s="9"/>
      <c r="AF969" s="9"/>
      <c r="AG969" s="9"/>
      <c r="AH969" s="9"/>
      <c r="AI969" s="9"/>
    </row>
    <row r="970" spans="1:35" ht="15.75" customHeight="1" x14ac:dyDescent="0.25">
      <c r="A970" s="10"/>
      <c r="B970" s="13"/>
      <c r="C970" s="13"/>
      <c r="D970" s="13"/>
      <c r="E970" s="13"/>
      <c r="F970" s="13"/>
      <c r="G970" s="13"/>
      <c r="H970" s="13"/>
      <c r="T970" s="13"/>
      <c r="U970" s="13"/>
      <c r="V970" s="13"/>
      <c r="W970" s="13"/>
      <c r="X970" s="13"/>
      <c r="Y970" s="10"/>
      <c r="Z970" s="9"/>
      <c r="AA970" s="9"/>
      <c r="AB970" s="9"/>
      <c r="AC970" s="9"/>
      <c r="AD970" s="9"/>
      <c r="AE970" s="9"/>
      <c r="AF970" s="9"/>
      <c r="AG970" s="9"/>
      <c r="AH970" s="9"/>
      <c r="AI970" s="9"/>
    </row>
    <row r="971" spans="1:35" ht="15.75" customHeight="1" x14ac:dyDescent="0.25">
      <c r="A971" s="10"/>
      <c r="B971" s="13"/>
      <c r="C971" s="13"/>
      <c r="D971" s="13"/>
      <c r="E971" s="13"/>
      <c r="F971" s="13"/>
      <c r="G971" s="13"/>
      <c r="H971" s="13"/>
      <c r="T971" s="13"/>
      <c r="U971" s="13"/>
      <c r="V971" s="13"/>
      <c r="W971" s="13"/>
      <c r="X971" s="13"/>
      <c r="Y971" s="10"/>
      <c r="Z971" s="9"/>
      <c r="AA971" s="9"/>
      <c r="AB971" s="9"/>
      <c r="AC971" s="9"/>
      <c r="AD971" s="9"/>
      <c r="AE971" s="9"/>
      <c r="AF971" s="9"/>
      <c r="AG971" s="9"/>
      <c r="AH971" s="9"/>
      <c r="AI971" s="9"/>
    </row>
    <row r="972" spans="1:35" ht="15.75" customHeight="1" x14ac:dyDescent="0.25">
      <c r="A972" s="10"/>
      <c r="B972" s="13"/>
      <c r="C972" s="13"/>
      <c r="D972" s="13"/>
      <c r="E972" s="13"/>
      <c r="F972" s="13"/>
      <c r="G972" s="13"/>
      <c r="H972" s="13"/>
      <c r="T972" s="13"/>
      <c r="U972" s="13"/>
      <c r="V972" s="13"/>
      <c r="W972" s="13"/>
      <c r="X972" s="13"/>
      <c r="Y972" s="10"/>
      <c r="Z972" s="9"/>
      <c r="AA972" s="9"/>
      <c r="AB972" s="9"/>
      <c r="AC972" s="9"/>
      <c r="AD972" s="9"/>
      <c r="AE972" s="9"/>
      <c r="AF972" s="9"/>
      <c r="AG972" s="9"/>
      <c r="AH972" s="9"/>
      <c r="AI972" s="9"/>
    </row>
    <row r="973" spans="1:35" ht="15.75" customHeight="1" x14ac:dyDescent="0.25">
      <c r="A973" s="10"/>
      <c r="B973" s="13"/>
      <c r="C973" s="13"/>
      <c r="D973" s="13"/>
      <c r="E973" s="13"/>
      <c r="F973" s="13"/>
      <c r="G973" s="13"/>
      <c r="H973" s="13"/>
      <c r="T973" s="13"/>
      <c r="U973" s="13"/>
      <c r="V973" s="13"/>
      <c r="W973" s="13"/>
      <c r="X973" s="13"/>
      <c r="Y973" s="10"/>
      <c r="Z973" s="9"/>
      <c r="AA973" s="9"/>
      <c r="AB973" s="9"/>
      <c r="AC973" s="9"/>
      <c r="AD973" s="9"/>
      <c r="AE973" s="9"/>
      <c r="AF973" s="9"/>
      <c r="AG973" s="9"/>
      <c r="AH973" s="9"/>
      <c r="AI973" s="9"/>
    </row>
    <row r="974" spans="1:35" ht="15.75" customHeight="1" x14ac:dyDescent="0.25">
      <c r="A974" s="10"/>
      <c r="B974" s="13"/>
      <c r="C974" s="13"/>
      <c r="D974" s="13"/>
      <c r="E974" s="13"/>
      <c r="F974" s="13"/>
      <c r="G974" s="13"/>
      <c r="H974" s="13"/>
      <c r="T974" s="13"/>
      <c r="U974" s="13"/>
      <c r="V974" s="13"/>
      <c r="W974" s="13"/>
      <c r="X974" s="13"/>
      <c r="Y974" s="10"/>
      <c r="Z974" s="9"/>
      <c r="AA974" s="9"/>
      <c r="AB974" s="9"/>
      <c r="AC974" s="9"/>
      <c r="AD974" s="9"/>
      <c r="AE974" s="9"/>
      <c r="AF974" s="9"/>
      <c r="AG974" s="9"/>
      <c r="AH974" s="9"/>
      <c r="AI974" s="9"/>
    </row>
    <row r="975" spans="1:35" ht="15.75" customHeight="1" x14ac:dyDescent="0.25">
      <c r="A975" s="10"/>
      <c r="B975" s="13"/>
      <c r="C975" s="13"/>
      <c r="D975" s="13"/>
      <c r="E975" s="13"/>
      <c r="F975" s="13"/>
      <c r="G975" s="13"/>
      <c r="H975" s="13"/>
      <c r="T975" s="13"/>
      <c r="U975" s="13"/>
      <c r="V975" s="13"/>
      <c r="W975" s="13"/>
      <c r="X975" s="13"/>
      <c r="Y975" s="10"/>
      <c r="Z975" s="9"/>
      <c r="AA975" s="9"/>
      <c r="AB975" s="9"/>
      <c r="AC975" s="9"/>
      <c r="AD975" s="9"/>
      <c r="AE975" s="9"/>
      <c r="AF975" s="9"/>
      <c r="AG975" s="9"/>
      <c r="AH975" s="9"/>
      <c r="AI975" s="9"/>
    </row>
    <row r="976" spans="1:35" ht="15.75" customHeight="1" x14ac:dyDescent="0.25">
      <c r="A976" s="10"/>
      <c r="B976" s="13"/>
      <c r="C976" s="13"/>
      <c r="D976" s="13"/>
      <c r="E976" s="13"/>
      <c r="F976" s="13"/>
      <c r="G976" s="13"/>
      <c r="H976" s="13"/>
      <c r="T976" s="13"/>
      <c r="U976" s="13"/>
      <c r="V976" s="13"/>
      <c r="W976" s="13"/>
      <c r="X976" s="13"/>
      <c r="Y976" s="10"/>
      <c r="Z976" s="9"/>
      <c r="AA976" s="9"/>
      <c r="AB976" s="9"/>
      <c r="AC976" s="9"/>
      <c r="AD976" s="9"/>
      <c r="AE976" s="9"/>
      <c r="AF976" s="9"/>
      <c r="AG976" s="9"/>
      <c r="AH976" s="9"/>
      <c r="AI976" s="9"/>
    </row>
    <row r="977" spans="1:35" ht="15.75" customHeight="1" x14ac:dyDescent="0.25">
      <c r="A977" s="10"/>
      <c r="B977" s="13"/>
      <c r="C977" s="13"/>
      <c r="D977" s="13"/>
      <c r="E977" s="13"/>
      <c r="F977" s="13"/>
      <c r="G977" s="13"/>
      <c r="H977" s="13"/>
      <c r="T977" s="13"/>
      <c r="U977" s="13"/>
      <c r="V977" s="13"/>
      <c r="W977" s="13"/>
      <c r="X977" s="13"/>
      <c r="Y977" s="10"/>
      <c r="Z977" s="9"/>
      <c r="AA977" s="9"/>
      <c r="AB977" s="9"/>
      <c r="AC977" s="9"/>
      <c r="AD977" s="9"/>
      <c r="AE977" s="9"/>
      <c r="AF977" s="9"/>
      <c r="AG977" s="9"/>
      <c r="AH977" s="9"/>
      <c r="AI977" s="9"/>
    </row>
    <row r="978" spans="1:35" ht="15.75" customHeight="1" x14ac:dyDescent="0.25">
      <c r="A978" s="10"/>
      <c r="B978" s="13"/>
      <c r="C978" s="13"/>
      <c r="D978" s="13"/>
      <c r="E978" s="13"/>
      <c r="F978" s="13"/>
      <c r="G978" s="13"/>
      <c r="H978" s="13"/>
      <c r="T978" s="13"/>
      <c r="U978" s="13"/>
      <c r="V978" s="13"/>
      <c r="W978" s="13"/>
      <c r="X978" s="13"/>
      <c r="Y978" s="10"/>
      <c r="Z978" s="9"/>
      <c r="AA978" s="9"/>
      <c r="AB978" s="9"/>
      <c r="AC978" s="9"/>
      <c r="AD978" s="9"/>
      <c r="AE978" s="9"/>
      <c r="AF978" s="9"/>
      <c r="AG978" s="9"/>
      <c r="AH978" s="9"/>
      <c r="AI978" s="9"/>
    </row>
    <row r="979" spans="1:35" ht="15.75" customHeight="1" x14ac:dyDescent="0.25">
      <c r="A979" s="10"/>
      <c r="B979" s="13"/>
      <c r="C979" s="13"/>
      <c r="D979" s="13"/>
      <c r="E979" s="13"/>
      <c r="F979" s="13"/>
      <c r="G979" s="13"/>
      <c r="H979" s="13"/>
      <c r="T979" s="13"/>
      <c r="U979" s="13"/>
      <c r="V979" s="13"/>
      <c r="W979" s="13"/>
      <c r="X979" s="13"/>
      <c r="Y979" s="10"/>
      <c r="Z979" s="9"/>
      <c r="AA979" s="9"/>
      <c r="AB979" s="9"/>
      <c r="AC979" s="9"/>
      <c r="AD979" s="9"/>
      <c r="AE979" s="9"/>
      <c r="AF979" s="9"/>
      <c r="AG979" s="9"/>
      <c r="AH979" s="9"/>
      <c r="AI979" s="9"/>
    </row>
    <row r="980" spans="1:35" ht="15.75" customHeight="1" x14ac:dyDescent="0.25">
      <c r="A980" s="10"/>
      <c r="B980" s="13"/>
      <c r="C980" s="13"/>
      <c r="D980" s="13"/>
      <c r="E980" s="13"/>
      <c r="F980" s="13"/>
      <c r="G980" s="13"/>
      <c r="H980" s="13"/>
      <c r="T980" s="13"/>
      <c r="U980" s="13"/>
      <c r="V980" s="13"/>
      <c r="W980" s="13"/>
      <c r="X980" s="13"/>
      <c r="Y980" s="10"/>
      <c r="Z980" s="9"/>
      <c r="AA980" s="9"/>
      <c r="AB980" s="9"/>
      <c r="AC980" s="9"/>
      <c r="AD980" s="9"/>
      <c r="AE980" s="9"/>
      <c r="AF980" s="9"/>
      <c r="AG980" s="9"/>
      <c r="AH980" s="9"/>
      <c r="AI980" s="9"/>
    </row>
    <row r="981" spans="1:35" ht="15.75" customHeight="1" x14ac:dyDescent="0.25">
      <c r="A981" s="10"/>
      <c r="B981" s="13"/>
      <c r="C981" s="13"/>
      <c r="D981" s="13"/>
      <c r="E981" s="13"/>
      <c r="F981" s="13"/>
      <c r="G981" s="13"/>
      <c r="H981" s="13"/>
      <c r="T981" s="13"/>
      <c r="U981" s="13"/>
      <c r="V981" s="13"/>
      <c r="W981" s="13"/>
      <c r="X981" s="13"/>
      <c r="Y981" s="10"/>
      <c r="Z981" s="9"/>
      <c r="AA981" s="9"/>
      <c r="AB981" s="9"/>
      <c r="AC981" s="9"/>
      <c r="AD981" s="9"/>
      <c r="AE981" s="9"/>
      <c r="AF981" s="9"/>
      <c r="AG981" s="9"/>
      <c r="AH981" s="9"/>
      <c r="AI981" s="9"/>
    </row>
    <row r="982" spans="1:35" ht="15.75" customHeight="1" x14ac:dyDescent="0.25">
      <c r="A982" s="10"/>
      <c r="B982" s="13"/>
      <c r="C982" s="13"/>
      <c r="D982" s="13"/>
      <c r="E982" s="13"/>
      <c r="F982" s="13"/>
      <c r="G982" s="13"/>
      <c r="H982" s="13"/>
      <c r="T982" s="13"/>
      <c r="U982" s="13"/>
      <c r="V982" s="13"/>
      <c r="W982" s="13"/>
      <c r="X982" s="13"/>
      <c r="Y982" s="10"/>
      <c r="Z982" s="9"/>
      <c r="AA982" s="9"/>
      <c r="AB982" s="9"/>
      <c r="AC982" s="9"/>
      <c r="AD982" s="9"/>
      <c r="AE982" s="9"/>
      <c r="AF982" s="9"/>
      <c r="AG982" s="9"/>
      <c r="AH982" s="9"/>
      <c r="AI982" s="9"/>
    </row>
    <row r="983" spans="1:35" ht="15.75" customHeight="1" x14ac:dyDescent="0.25">
      <c r="A983" s="10"/>
      <c r="B983" s="13"/>
      <c r="C983" s="13"/>
      <c r="D983" s="13"/>
      <c r="E983" s="13"/>
      <c r="F983" s="13"/>
      <c r="G983" s="13"/>
      <c r="H983" s="13"/>
      <c r="T983" s="13"/>
      <c r="U983" s="13"/>
      <c r="V983" s="13"/>
      <c r="W983" s="13"/>
      <c r="X983" s="13"/>
      <c r="Y983" s="10"/>
      <c r="Z983" s="9"/>
      <c r="AA983" s="9"/>
      <c r="AB983" s="9"/>
      <c r="AC983" s="9"/>
      <c r="AD983" s="9"/>
      <c r="AE983" s="9"/>
      <c r="AF983" s="9"/>
      <c r="AG983" s="9"/>
      <c r="AH983" s="9"/>
      <c r="AI983" s="9"/>
    </row>
    <row r="984" spans="1:35" ht="15.75" customHeight="1" x14ac:dyDescent="0.25">
      <c r="A984" s="10"/>
      <c r="B984" s="13"/>
      <c r="C984" s="13"/>
      <c r="D984" s="13"/>
      <c r="E984" s="13"/>
      <c r="F984" s="13"/>
      <c r="G984" s="13"/>
      <c r="H984" s="13"/>
      <c r="T984" s="13"/>
      <c r="U984" s="13"/>
      <c r="V984" s="13"/>
      <c r="W984" s="13"/>
      <c r="X984" s="13"/>
      <c r="Y984" s="10"/>
      <c r="Z984" s="9"/>
      <c r="AA984" s="9"/>
      <c r="AB984" s="9"/>
      <c r="AC984" s="9"/>
      <c r="AD984" s="9"/>
      <c r="AE984" s="9"/>
      <c r="AF984" s="9"/>
      <c r="AG984" s="9"/>
      <c r="AH984" s="9"/>
      <c r="AI984" s="9"/>
    </row>
    <row r="985" spans="1:35" ht="15.75" customHeight="1" x14ac:dyDescent="0.25">
      <c r="A985" s="10"/>
      <c r="B985" s="13"/>
      <c r="C985" s="13"/>
      <c r="D985" s="13"/>
      <c r="E985" s="13"/>
      <c r="F985" s="13"/>
      <c r="G985" s="13"/>
      <c r="H985" s="13"/>
      <c r="T985" s="13"/>
      <c r="U985" s="13"/>
      <c r="V985" s="13"/>
      <c r="W985" s="13"/>
      <c r="X985" s="13"/>
      <c r="Y985" s="10"/>
      <c r="Z985" s="9"/>
      <c r="AA985" s="9"/>
      <c r="AB985" s="9"/>
      <c r="AC985" s="9"/>
      <c r="AD985" s="9"/>
      <c r="AE985" s="9"/>
      <c r="AF985" s="9"/>
      <c r="AG985" s="9"/>
      <c r="AH985" s="9"/>
      <c r="AI985" s="9"/>
    </row>
    <row r="986" spans="1:35" ht="15.75" customHeight="1" x14ac:dyDescent="0.25">
      <c r="A986" s="10"/>
      <c r="B986" s="13"/>
      <c r="C986" s="13"/>
      <c r="D986" s="13"/>
      <c r="E986" s="13"/>
      <c r="F986" s="13"/>
      <c r="G986" s="13"/>
      <c r="H986" s="13"/>
      <c r="T986" s="13"/>
      <c r="U986" s="13"/>
      <c r="V986" s="13"/>
      <c r="W986" s="13"/>
      <c r="X986" s="13"/>
      <c r="Y986" s="10"/>
      <c r="Z986" s="9"/>
      <c r="AA986" s="9"/>
      <c r="AB986" s="9"/>
      <c r="AC986" s="9"/>
      <c r="AD986" s="9"/>
      <c r="AE986" s="9"/>
      <c r="AF986" s="9"/>
      <c r="AG986" s="9"/>
      <c r="AH986" s="9"/>
      <c r="AI986" s="9"/>
    </row>
    <row r="987" spans="1:35" ht="15.75" customHeight="1" x14ac:dyDescent="0.25">
      <c r="A987" s="10"/>
      <c r="B987" s="13"/>
      <c r="C987" s="13"/>
      <c r="D987" s="13"/>
      <c r="E987" s="13"/>
      <c r="F987" s="13"/>
      <c r="G987" s="13"/>
      <c r="H987" s="13"/>
      <c r="T987" s="13"/>
      <c r="U987" s="13"/>
      <c r="V987" s="13"/>
      <c r="W987" s="13"/>
      <c r="X987" s="13"/>
      <c r="Y987" s="10"/>
      <c r="Z987" s="9"/>
      <c r="AA987" s="9"/>
      <c r="AB987" s="9"/>
      <c r="AC987" s="9"/>
      <c r="AD987" s="9"/>
      <c r="AE987" s="9"/>
      <c r="AF987" s="9"/>
      <c r="AG987" s="9"/>
      <c r="AH987" s="9"/>
      <c r="AI987" s="9"/>
    </row>
    <row r="988" spans="1:35" ht="15.75" customHeight="1" x14ac:dyDescent="0.25">
      <c r="A988" s="10"/>
      <c r="B988" s="13"/>
      <c r="C988" s="13"/>
      <c r="D988" s="13"/>
      <c r="E988" s="13"/>
      <c r="F988" s="13"/>
      <c r="G988" s="13"/>
      <c r="H988" s="13"/>
      <c r="T988" s="13"/>
      <c r="U988" s="13"/>
      <c r="V988" s="13"/>
      <c r="W988" s="13"/>
      <c r="X988" s="13"/>
      <c r="Y988" s="10"/>
      <c r="Z988" s="9"/>
      <c r="AA988" s="9"/>
      <c r="AB988" s="9"/>
      <c r="AC988" s="9"/>
      <c r="AD988" s="9"/>
      <c r="AE988" s="9"/>
      <c r="AF988" s="9"/>
      <c r="AG988" s="9"/>
      <c r="AH988" s="9"/>
      <c r="AI988" s="9"/>
    </row>
    <row r="989" spans="1:35" ht="15.75" customHeight="1" x14ac:dyDescent="0.25">
      <c r="A989" s="10"/>
      <c r="B989" s="13"/>
      <c r="C989" s="13"/>
      <c r="D989" s="13"/>
      <c r="E989" s="13"/>
      <c r="F989" s="13"/>
      <c r="G989" s="13"/>
      <c r="H989" s="13"/>
      <c r="T989" s="13"/>
      <c r="U989" s="13"/>
      <c r="V989" s="13"/>
      <c r="W989" s="13"/>
      <c r="X989" s="13"/>
      <c r="Y989" s="10"/>
      <c r="Z989" s="9"/>
      <c r="AA989" s="9"/>
      <c r="AB989" s="9"/>
      <c r="AC989" s="9"/>
      <c r="AD989" s="9"/>
      <c r="AE989" s="9"/>
      <c r="AF989" s="9"/>
      <c r="AG989" s="9"/>
      <c r="AH989" s="9"/>
      <c r="AI989" s="9"/>
    </row>
    <row r="990" spans="1:35" ht="15.75" customHeight="1" x14ac:dyDescent="0.25">
      <c r="A990" s="10"/>
      <c r="B990" s="13"/>
      <c r="C990" s="13"/>
      <c r="D990" s="13"/>
      <c r="E990" s="13"/>
      <c r="F990" s="13"/>
      <c r="G990" s="13"/>
      <c r="H990" s="13"/>
      <c r="T990" s="13"/>
      <c r="U990" s="13"/>
      <c r="V990" s="13"/>
      <c r="W990" s="13"/>
      <c r="X990" s="13"/>
      <c r="Y990" s="10"/>
      <c r="Z990" s="9"/>
      <c r="AA990" s="9"/>
      <c r="AB990" s="9"/>
      <c r="AC990" s="9"/>
      <c r="AD990" s="9"/>
      <c r="AE990" s="9"/>
      <c r="AF990" s="9"/>
      <c r="AG990" s="9"/>
      <c r="AH990" s="9"/>
      <c r="AI990" s="9"/>
    </row>
    <row r="991" spans="1:35" ht="15.75" customHeight="1" x14ac:dyDescent="0.25">
      <c r="A991" s="10"/>
      <c r="B991" s="13"/>
      <c r="C991" s="13"/>
      <c r="D991" s="13"/>
      <c r="E991" s="13"/>
      <c r="F991" s="13"/>
      <c r="G991" s="13"/>
      <c r="H991" s="13"/>
      <c r="T991" s="13"/>
      <c r="U991" s="13"/>
      <c r="V991" s="13"/>
      <c r="W991" s="13"/>
      <c r="X991" s="13"/>
      <c r="Y991" s="10"/>
      <c r="Z991" s="9"/>
      <c r="AA991" s="9"/>
      <c r="AB991" s="9"/>
      <c r="AC991" s="9"/>
      <c r="AD991" s="9"/>
      <c r="AE991" s="9"/>
      <c r="AF991" s="9"/>
      <c r="AG991" s="9"/>
      <c r="AH991" s="9"/>
      <c r="AI991" s="9"/>
    </row>
    <row r="992" spans="1:35" ht="15.75" customHeight="1" x14ac:dyDescent="0.25">
      <c r="A992" s="10"/>
      <c r="B992" s="13"/>
      <c r="C992" s="13"/>
      <c r="D992" s="13"/>
      <c r="E992" s="13"/>
      <c r="F992" s="13"/>
      <c r="G992" s="13"/>
      <c r="H992" s="13"/>
      <c r="T992" s="13"/>
      <c r="U992" s="13"/>
      <c r="V992" s="13"/>
      <c r="W992" s="13"/>
      <c r="X992" s="13"/>
      <c r="Y992" s="10"/>
      <c r="Z992" s="9"/>
      <c r="AA992" s="9"/>
      <c r="AB992" s="9"/>
      <c r="AC992" s="9"/>
      <c r="AD992" s="9"/>
      <c r="AE992" s="9"/>
      <c r="AF992" s="9"/>
      <c r="AG992" s="9"/>
      <c r="AH992" s="9"/>
      <c r="AI992" s="9"/>
    </row>
    <row r="993" spans="1:35" ht="15.75" customHeight="1" x14ac:dyDescent="0.25">
      <c r="A993" s="10"/>
      <c r="B993" s="13"/>
      <c r="C993" s="13"/>
      <c r="D993" s="13"/>
      <c r="E993" s="13"/>
      <c r="F993" s="13"/>
      <c r="G993" s="13"/>
      <c r="H993" s="13"/>
      <c r="T993" s="13"/>
      <c r="U993" s="13"/>
      <c r="V993" s="13"/>
      <c r="W993" s="13"/>
      <c r="X993" s="13"/>
      <c r="Y993" s="10"/>
      <c r="Z993" s="9"/>
      <c r="AA993" s="9"/>
      <c r="AB993" s="9"/>
      <c r="AC993" s="9"/>
      <c r="AD993" s="9"/>
      <c r="AE993" s="9"/>
      <c r="AF993" s="9"/>
      <c r="AG993" s="9"/>
      <c r="AH993" s="9"/>
      <c r="AI993" s="9"/>
    </row>
    <row r="994" spans="1:35" ht="15.75" customHeight="1" x14ac:dyDescent="0.25">
      <c r="A994" s="10"/>
      <c r="B994" s="13"/>
      <c r="C994" s="13"/>
      <c r="D994" s="13"/>
      <c r="E994" s="13"/>
      <c r="F994" s="13"/>
      <c r="G994" s="13"/>
      <c r="H994" s="13"/>
      <c r="T994" s="13"/>
      <c r="U994" s="13"/>
      <c r="V994" s="13"/>
      <c r="W994" s="13"/>
      <c r="X994" s="13"/>
      <c r="Y994" s="10"/>
      <c r="Z994" s="9"/>
      <c r="AA994" s="9"/>
      <c r="AB994" s="9"/>
      <c r="AC994" s="9"/>
      <c r="AD994" s="9"/>
      <c r="AE994" s="9"/>
      <c r="AF994" s="9"/>
      <c r="AG994" s="9"/>
      <c r="AH994" s="9"/>
      <c r="AI994" s="9"/>
    </row>
    <row r="995" spans="1:35" ht="15.75" customHeight="1" x14ac:dyDescent="0.25">
      <c r="A995" s="10"/>
      <c r="B995" s="13"/>
      <c r="C995" s="13"/>
      <c r="D995" s="13"/>
      <c r="E995" s="13"/>
      <c r="F995" s="13"/>
      <c r="G995" s="13"/>
      <c r="H995" s="13"/>
      <c r="T995" s="13"/>
      <c r="U995" s="13"/>
      <c r="V995" s="13"/>
      <c r="W995" s="13"/>
      <c r="X995" s="13"/>
      <c r="Y995" s="10"/>
      <c r="Z995" s="9"/>
      <c r="AA995" s="9"/>
      <c r="AB995" s="9"/>
      <c r="AC995" s="9"/>
      <c r="AD995" s="9"/>
      <c r="AE995" s="9"/>
      <c r="AF995" s="9"/>
      <c r="AG995" s="9"/>
      <c r="AH995" s="9"/>
      <c r="AI995" s="9"/>
    </row>
    <row r="996" spans="1:35" ht="15.75" customHeight="1" x14ac:dyDescent="0.25">
      <c r="A996" s="10"/>
      <c r="B996" s="13"/>
      <c r="C996" s="13"/>
      <c r="D996" s="13"/>
      <c r="E996" s="13"/>
      <c r="F996" s="13"/>
      <c r="G996" s="13"/>
      <c r="H996" s="13"/>
      <c r="T996" s="13"/>
      <c r="U996" s="13"/>
      <c r="V996" s="13"/>
      <c r="W996" s="13"/>
      <c r="X996" s="13"/>
      <c r="Y996" s="10"/>
      <c r="Z996" s="9"/>
      <c r="AA996" s="9"/>
      <c r="AB996" s="9"/>
      <c r="AC996" s="9"/>
      <c r="AD996" s="9"/>
      <c r="AE996" s="9"/>
      <c r="AF996" s="9"/>
      <c r="AG996" s="9"/>
      <c r="AH996" s="9"/>
      <c r="AI996" s="9"/>
    </row>
    <row r="997" spans="1:35" ht="15.75" customHeight="1" x14ac:dyDescent="0.25">
      <c r="A997" s="10"/>
      <c r="B997" s="13"/>
      <c r="C997" s="13"/>
      <c r="D997" s="13"/>
      <c r="E997" s="13"/>
      <c r="F997" s="13"/>
      <c r="G997" s="13"/>
      <c r="H997" s="13"/>
      <c r="T997" s="13"/>
      <c r="U997" s="13"/>
      <c r="V997" s="13"/>
      <c r="W997" s="13"/>
      <c r="X997" s="13"/>
      <c r="Y997" s="10"/>
      <c r="Z997" s="9"/>
      <c r="AA997" s="9"/>
      <c r="AB997" s="9"/>
      <c r="AC997" s="9"/>
      <c r="AD997" s="9"/>
      <c r="AE997" s="9"/>
      <c r="AF997" s="9"/>
      <c r="AG997" s="9"/>
      <c r="AH997" s="9"/>
      <c r="AI997" s="9"/>
    </row>
    <row r="998" spans="1:35" ht="15.75" customHeight="1" x14ac:dyDescent="0.25">
      <c r="A998" s="10"/>
      <c r="B998" s="13"/>
      <c r="C998" s="13"/>
      <c r="D998" s="13"/>
      <c r="E998" s="13"/>
      <c r="F998" s="13"/>
      <c r="G998" s="13"/>
      <c r="H998" s="13"/>
      <c r="T998" s="13"/>
      <c r="U998" s="13"/>
      <c r="V998" s="13"/>
      <c r="W998" s="13"/>
      <c r="X998" s="13"/>
      <c r="Y998" s="10"/>
      <c r="Z998" s="9"/>
      <c r="AA998" s="9"/>
      <c r="AB998" s="9"/>
      <c r="AC998" s="9"/>
      <c r="AD998" s="9"/>
      <c r="AE998" s="9"/>
      <c r="AF998" s="9"/>
      <c r="AG998" s="9"/>
      <c r="AH998" s="9"/>
      <c r="AI998" s="9"/>
    </row>
    <row r="999" spans="1:35" ht="15.75" customHeight="1" x14ac:dyDescent="0.25">
      <c r="A999" s="10"/>
      <c r="B999" s="13"/>
      <c r="C999" s="13"/>
      <c r="D999" s="13"/>
      <c r="E999" s="13"/>
      <c r="F999" s="13"/>
      <c r="G999" s="13"/>
      <c r="H999" s="13"/>
      <c r="T999" s="13"/>
      <c r="U999" s="13"/>
      <c r="V999" s="13"/>
      <c r="W999" s="13"/>
      <c r="X999" s="13"/>
      <c r="Y999" s="10"/>
      <c r="Z999" s="9"/>
      <c r="AA999" s="9"/>
      <c r="AB999" s="9"/>
      <c r="AC999" s="9"/>
      <c r="AD999" s="9"/>
      <c r="AE999" s="9"/>
      <c r="AF999" s="9"/>
      <c r="AG999" s="9"/>
      <c r="AH999" s="9"/>
      <c r="AI999" s="9"/>
    </row>
    <row r="1000" spans="1:35" ht="15.75" customHeight="1" x14ac:dyDescent="0.25">
      <c r="A1000" s="10"/>
      <c r="B1000" s="13"/>
      <c r="C1000" s="13"/>
      <c r="D1000" s="13"/>
      <c r="E1000" s="13"/>
      <c r="F1000" s="13"/>
      <c r="G1000" s="13"/>
      <c r="H1000" s="13"/>
      <c r="T1000" s="13"/>
      <c r="U1000" s="13"/>
      <c r="V1000" s="13"/>
      <c r="W1000" s="13"/>
      <c r="X1000" s="13"/>
      <c r="Y1000" s="10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</row>
    <row r="1001" spans="1:35" ht="15.75" customHeight="1" x14ac:dyDescent="0.25">
      <c r="A1001" s="10"/>
      <c r="B1001" s="13"/>
      <c r="C1001" s="13"/>
      <c r="D1001" s="13"/>
      <c r="E1001" s="13"/>
      <c r="F1001" s="13"/>
      <c r="G1001" s="13"/>
      <c r="H1001" s="13"/>
      <c r="T1001" s="13"/>
      <c r="U1001" s="13"/>
      <c r="V1001" s="13"/>
      <c r="W1001" s="13"/>
      <c r="X1001" s="13"/>
      <c r="Y1001" s="10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</row>
    <row r="1002" spans="1:35" ht="15.75" customHeight="1" x14ac:dyDescent="0.25">
      <c r="A1002" s="10"/>
      <c r="B1002" s="13"/>
      <c r="C1002" s="13"/>
      <c r="D1002" s="13"/>
      <c r="E1002" s="13"/>
      <c r="F1002" s="13"/>
      <c r="G1002" s="13"/>
      <c r="H1002" s="13"/>
      <c r="T1002" s="13"/>
      <c r="U1002" s="13"/>
      <c r="V1002" s="13"/>
      <c r="W1002" s="13"/>
      <c r="X1002" s="13"/>
      <c r="Y1002" s="10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</row>
  </sheetData>
  <hyperlinks>
    <hyperlink ref="A2" r:id="rId1" display="https://www.uab.edu/medicine/home/future-students/admissions/minimum-requirements-for-consideration"/>
    <hyperlink ref="Y2" r:id="rId2" display="https://www.uab.edu/medicine/home/future-students/admissions/minimum-requirements-for-consideration"/>
    <hyperlink ref="A3" r:id="rId3" display="http://www.usahealthsystem.com/how-to-apply"/>
    <hyperlink ref="Y3" r:id="rId4" display="http://www.usahealthsystem.com/how-to-apply"/>
    <hyperlink ref="A4" r:id="rId5" display="http://medicine.uams.edu/for-medical-students/catalog/"/>
    <hyperlink ref="Y4" r:id="rId6" display="http://medicine.uams.edu/files/2013/06/2014_admissions_guide-web.pdf"/>
    <hyperlink ref="A5" r:id="rId7" display="http://medicine.arizona.edu/admissions/key-info/requirements"/>
    <hyperlink ref="Y5" r:id="rId8" display="http://medicine.arizona.edu/admissions/key-info/requirements"/>
    <hyperlink ref="A6" r:id="rId9" display="http://phoenixmed.arizona.edu/admission-requirements/academic"/>
    <hyperlink ref="Y6" r:id="rId10" display="http://phoenixmed.arizona.edu/admissions/admission-qualifications/academic-requirements"/>
    <hyperlink ref="A7" r:id="rId11" display="http://keck.usc.edu/education/md-program/admissions/"/>
    <hyperlink ref="Y7" r:id="rId12" display="http://keck.usc.edu/About/Administrative_Offices/Office_of_MD_Admissions/Admissions_Process.aspx"/>
    <hyperlink ref="A8" r:id="rId13" display="http://medicine.llu.edu/admissions/admissions-requirements"/>
    <hyperlink ref="Y8" r:id="rId14" display="http://www.llu.edu/medicine/admissions/admissions-requirements.page?"/>
    <hyperlink ref="A9" r:id="rId15" display="http://med.stanford.edu/md-admissions/how-to-apply/academic-requirements.html"/>
    <hyperlink ref="Y9" r:id="rId16" display="http://med.stanford.edu/md/admissions/preparation.html"/>
    <hyperlink ref="A10" r:id="rId17" display="http://www.ucdmc.ucdavis.edu/mdprogram/admissions/requirements.html"/>
    <hyperlink ref="Y10" r:id="rId18" display="http://www.ucdmc.ucdavis.edu/mdprogram/admissions/requirements.html"/>
    <hyperlink ref="A11" r:id="rId19" display="http://www.meded.uci.edu/admissions/admission-requirements.asp"/>
    <hyperlink ref="Y11" r:id="rId20" display="http://www.meded.uci.edu/Admissions/admissions_information.asp"/>
    <hyperlink ref="A12" r:id="rId21" display="http://medschool.ucla.edu/apply-prerequisites"/>
    <hyperlink ref="Y12" r:id="rId22" display="http://www.medstudent.ucla.edu/offices/admiss/admreq.cfm"/>
    <hyperlink ref="A13" r:id="rId23" display="http://medschool.ucr.edu/admissions/"/>
    <hyperlink ref="Y13" r:id="rId24" display="http://medschool.ucr.edu/admissions/"/>
    <hyperlink ref="A14" r:id="rId25" display="https://meded.ucsd.edu/index.cfm/asa/admissions/application_process/"/>
    <hyperlink ref="Y14" r:id="rId26" display="http://meded.ucsd.edu/index.cfm/asa/admissions/application_process/step_by_step/"/>
    <hyperlink ref="A15" r:id="rId27" display="http://meded.ucsf.edu/admissions/getting-started"/>
    <hyperlink ref="Y15" r:id="rId28" display="http://meded.ucsf.edu/admissions/getting-started"/>
    <hyperlink ref="A16" r:id="rId29" display="http://www.ucdenver.edu/academics/colleges/medicalschool/education/Admissions/apply/Pages/Requirements.aspx"/>
    <hyperlink ref="Y16" r:id="rId30" display="http://www.ucdenver.edu/academics/colleges/medicalschool/education/Admissions/apply/Pages/Requirements.aspx"/>
    <hyperlink ref="A17" r:id="rId31" display="http://www.quinnipiac.edu/academics/colleges-schools-and-departments/school-of-medicine/admissions/academic-requirements/"/>
    <hyperlink ref="Y17" r:id="rId32" display="http://www.quinnipiac.edu/academics/colleges-schools-and-departments/school-of-medicine/admissions/academic-requirements/"/>
    <hyperlink ref="A18" r:id="rId33" display="http://medicine.uconn.edu/admissions/applying-to-the-md-or-md-mba-programs/"/>
    <hyperlink ref="Y18" r:id="rId34" display="http://medicine.uchc.edu/prospective/apply/index.html"/>
    <hyperlink ref="A19" r:id="rId35" display="https://medicine.yale.edu/education/admissions/requirements.aspx"/>
    <hyperlink ref="Y19" r:id="rId36" display="http://medicine.yale.edu/education/admissions/apply/premed.aspx"/>
    <hyperlink ref="A20" r:id="rId37" display="http://smhs.gwu.edu/academics/md-program/admissions/application-process/minimum-eligibility-recommendations-2017-cycle"/>
    <hyperlink ref="Y20" r:id="rId38" location="WhatarethecourserequirementsforadmissiontoGWMedicalSchool" display="http://smhs.gwu.edu/academics/md/admissions/apply/faq - WhatarethecourserequirementsforadmissiontoGWMedicalSchool"/>
    <hyperlink ref="A21" r:id="rId39" display="https://som.georgetown.edu/prospectivestudents/degrees/md/guide"/>
    <hyperlink ref="Y21" r:id="rId40" display="https://georgetown.app.box.com/s/1qg8bh8vya2j3s2k8r7c"/>
    <hyperlink ref="A22" r:id="rId41" display="http://healthsciences.howard.edu/education/colleges/medicine/admissions/requirements-and-procedures"/>
    <hyperlink ref="Y22" r:id="rId42" display="http://healthsciences.howard.edu/education/schools-and-academics/medicine/admissions/requirements and procedures"/>
    <hyperlink ref="A23" r:id="rId43" location="collapseFive" display="http://med.fau.edu/admissions/md/reqpro.php - collapseFive"/>
    <hyperlink ref="Y23" r:id="rId44" location="PRE-REQUISITES" display="http://med.fau.edu/admissions/index.php - PRE-REQUISITES"/>
    <hyperlink ref="A24" r:id="rId45" display="http://medicine.fiu.edu/admissions/md/academic-reqs/index.html"/>
    <hyperlink ref="Y24" r:id="rId46" display="http://medicine.fiu.edu/admissions/md/academic-reqs/index.html"/>
    <hyperlink ref="A25" r:id="rId47" display="http://med.fsu.edu/index.cfm?page=mdAdmissions.admissionRequirements"/>
    <hyperlink ref="Y25" r:id="rId48" location="prereq" display="http://med.fsu.edu/?page=mdAdmissions.admissionRequirements - prereq"/>
    <hyperlink ref="A26" r:id="rId49" display="http://med.ucf.edu/administrative-offices/student-affairs/admissions/application-requirements/academic-admissions-requirements/"/>
    <hyperlink ref="Y26" r:id="rId50" display="http://med.ucf.edu/administrative-offices/student-affairs/admissions/application-requirements/academic-admissions-requirements/"/>
    <hyperlink ref="A27" r:id="rId51" display="http://admissions.med.ufl.edu/admission-requirements/regular-admission-requirements/"/>
    <hyperlink ref="Y27" r:id="rId52" display="http://admissions.med.ufl.edu/admission-requirements/regular-admission-requirements/"/>
    <hyperlink ref="A28" r:id="rId53" display="http://admissions.med.miami.edu/md-programs/general-md/prerequisites"/>
    <hyperlink ref="Y28" r:id="rId54" display="http://admissions.med.miami.edu/md-programs/general-md/prerequisites"/>
    <hyperlink ref="A29" r:id="rId55" display="http://health.usf.edu/medicine/mdprogram/mdadmissions/requirements.htm"/>
    <hyperlink ref="Y29" r:id="rId56" display="http://health.usf.edu/medicine/mdprogram/mdadmissions/requirements.htm"/>
    <hyperlink ref="A30" r:id="rId57" display="http://med.emory.edu/education/admissions/md/how_to_apply/application_requirements.html"/>
    <hyperlink ref="Y30" r:id="rId58" display="http://med.emory.edu/education/admissions/md/how_to_apply/application_requirements.html"/>
    <hyperlink ref="A31" r:id="rId59" display="http://www.gru.edu/mcg/admissions/application/prerequisites.php"/>
    <hyperlink ref="Y31" r:id="rId60" display="http://www.gru.edu/mcg/admissions/application/prerequisites.php"/>
    <hyperlink ref="A32" r:id="rId61" display="http://medicine.mercer.edu/admissions/md/"/>
    <hyperlink ref="Y32" r:id="rId62" display="http://medicine.mercer.edu/admissions/md/"/>
    <hyperlink ref="A33" r:id="rId63" display="http://www.msm.edu/Admissions/mdadmissionsrequirements.php"/>
    <hyperlink ref="Y33" r:id="rId64" display="http://www.msm.edu/prospective_students/MDadmissions/entrancerequirements.aspx"/>
    <hyperlink ref="A34" r:id="rId65" display="http://jabsom.hawaii.edu/ed-programs/md-program/admissions-program/"/>
    <hyperlink ref="Y34" r:id="rId66" display="http://jabsom.hawaii.edu/JABSOM/admissions/mdprogram.php?l1=mdp&amp;l2=proS"/>
    <hyperlink ref="A35" r:id="rId67" display="http://www.medicine.uiowa.edu/md/requirements/"/>
    <hyperlink ref="Y35" r:id="rId68" display="http://www.medicine.uiowa.edu/md/requirements/"/>
    <hyperlink ref="A36" r:id="rId69" display="http://www.stritch.luc.edu/admission"/>
    <hyperlink ref="Y36" r:id="rId70" display="http://www.stritch.luc.edu/admission"/>
    <hyperlink ref="A37" r:id="rId71" display="http://www.feinberg.northwestern.edu/admissions/process/requirements/"/>
    <hyperlink ref="Y37" r:id="rId72" display="http://www.feinberg.northwestern.edu/admissions/process/requirements/"/>
    <hyperlink ref="A38" r:id="rId73" display="https://rosalindfranklin.edu/academics/chicago-medical-school/degree-program/"/>
    <hyperlink ref="Y38" r:id="rId74" display="http://www.rosalindfranklin.edu/Degreeprograms/AllopathicMedicine/appNeeds.aspx"/>
    <hyperlink ref="A39" r:id="rId75" display="https://www.rushu.rush.edu/rush-medical-college/doctor-medicine-md-program/admission-requirements"/>
    <hyperlink ref="Y39" r:id="rId76" display="http://www.rushu.rush.edu/servlet/Satellite?MetaAttrName=meta_university&amp;ParentId=1144343940257&amp;ParentType=RushUnivLevel2Page&amp;c=content_block&amp;cid=1191597747056&amp;level1-p=2&amp;level1-pp=1142960797000&amp;level1-ppp=1142960797000&amp;pagename=Rush%2Fcontent_block%2FCon"/>
    <hyperlink ref="A40" r:id="rId77" display="http://www.siumed.edu/studentaffairs/admissions/requirements.html"/>
    <hyperlink ref="Y40" r:id="rId78" display="http://www.siumed.edu/studentaffairs/admissions/requirements.html"/>
    <hyperlink ref="A41" r:id="rId79" display="https://pritzker.uchicago.edu/page/admissions"/>
    <hyperlink ref="Y41" r:id="rId80" display="http://pritzker.uchicago.edu/admissions/requirements/"/>
    <hyperlink ref="A42" r:id="rId81" display="http://www.medicine.uic.edu/education/m_d_admissions/requirements_and_timeline"/>
    <hyperlink ref="Y42" r:id="rId82" display="http://medicine.uic.edu/cms/One.aspx?portalId=443021&amp;pageId=19888504"/>
    <hyperlink ref="A43" r:id="rId83" display="http://admissions.medicine.iu.edu/applying-to-the-iu-school-of-medicine/"/>
    <hyperlink ref="Y43" r:id="rId84" display="http://admissions.medicine.iu.edu/applying-to-the-iu-school-of-medicine/"/>
    <hyperlink ref="A44" r:id="rId85" display="http://www.kumc.edu/school-of-medicine/education/admissions/premedical-requirements.html"/>
    <hyperlink ref="Y44" r:id="rId86" display="http://www.kumc.edu/school-of-medicine/education/admissions/premedical-requirements.html"/>
    <hyperlink ref="A45" r:id="rId87" display="http://meded.med.uky.edu/meded-admissions-prerequisites"/>
    <hyperlink ref="Y45" r:id="rId88" display="http://meded.med.uky.edu/prerequisites-0"/>
    <hyperlink ref="A46" r:id="rId89" display="http://louisville.edu/medicine/admissions/app-process/complete-prerequisites"/>
    <hyperlink ref="Y46" r:id="rId90" display="http://louisville.edu/medicine/admissions/app-process/complete-prerequisites"/>
    <hyperlink ref="A47" r:id="rId91" display="http://www.lsuhscshreveport.edu/Education/som/admissions/requirements/index"/>
    <hyperlink ref="Y47" r:id="rId92" location="requirements" display="http://www.lsuhscshreveport.edu/Admissions/Requirements.aspx - requirements"/>
    <hyperlink ref="A48" r:id="rId93" display="http://www.medschool.lsuhsc.edu/admissions/Requirements.aspx"/>
    <hyperlink ref="Y48" r:id="rId94" display="http://www.medschool.lsuhsc.edu/admissions/Requirements.aspx"/>
    <hyperlink ref="A49" r:id="rId95" display="http://tulane.edu/som/admissions/apply/selection-factors.cfm"/>
    <hyperlink ref="Y49" r:id="rId96" display="http://tulane.edu/som/admissions/apply/selection-factors.cfm"/>
    <hyperlink ref="A50" r:id="rId97" display="http://www.bumc.bu.edu/admissions/applicationprocess/requirements/"/>
    <hyperlink ref="Y50" r:id="rId98" display="http://www.bumc.bu.edu/admissions/applicationprocess/requirements/"/>
    <hyperlink ref="A51" r:id="rId99" display="http://hms.harvard.edu/content/requirements-admission"/>
    <hyperlink ref="Y51" r:id="rId100" display="http://hms.harvard.edu/departments/admissions/applying/requirements-admission"/>
    <hyperlink ref="Y52" r:id="rId101" display="http://hms.harvard.edu/departments/admissions/applying/requirements-admission"/>
    <hyperlink ref="A53" r:id="rId102" display="http://medicine.tufts.edu/Admissions/MD-Application-Process"/>
    <hyperlink ref="Y53" r:id="rId103" display="http://md.tufts.edu/Admissions/MD-Application-Process/Course-Prerequisites"/>
    <hyperlink ref="A54" r:id="rId104" display="http://www.umassmed.edu/som/admissions/application-process/academic-requirements/"/>
    <hyperlink ref="Y54" r:id="rId105" display="http://www.umassmed.edu/som/admissions/reqs.aspx?linkidentifier=id&amp;itemid=95706"/>
    <hyperlink ref="A55" r:id="rId106" display="http://www.hopkinsmedicine.org/som/admissions/md/process/requirements.html"/>
    <hyperlink ref="Y55" r:id="rId107" display="http://www.hopkinsmedicine.org/som/admissions/md/application_process/prerequisites_requirements.html"/>
    <hyperlink ref="A56" r:id="rId108" display="http://www.usuhs.edu/medschool/pdf/WhatYouNeedtoKnow.pdf"/>
    <hyperlink ref="Y56" r:id="rId109" display="http://www.usuhs.mil/medschool/somfaq.html"/>
    <hyperlink ref="A57" r:id="rId110" display="http://medschool.umaryland.edu/admissions/appreq.asp"/>
    <hyperlink ref="Y57" r:id="rId111" display="http://medschool.umaryland.edu/admissions/appreq.asp"/>
    <hyperlink ref="A58" r:id="rId112" display="https://www.cmich.edu/colleges/cmed/Education/MDProgram/Admissions/Pages/default.aspx"/>
    <hyperlink ref="Y58" r:id="rId113" display="https://www.cmich.edu/colleges/cmed/students/Pages/Admissions Requirements.aspx"/>
    <hyperlink ref="A59" r:id="rId114" display="http://www.mdadmissions.msu.edu/ApplicationProcess/future/admiss_req.htm"/>
    <hyperlink ref="Y59" r:id="rId115" display="http://mdadmissions.msu.edu/premedReqs/premed_reqs.php"/>
    <hyperlink ref="A60" r:id="rId116" display="http://www.oakland.edu/medicine/admissions/requirements"/>
    <hyperlink ref="Y60" r:id="rId117" display="http://www.oakland.edu/medicine/admissions/requirements"/>
    <hyperlink ref="A61" r:id="rId118" display="http://med.umich.edu/medschool/admissions/apply/requirements.html"/>
    <hyperlink ref="Y61" r:id="rId119" display="http://medicine.umich.edu/medschool/education/md-program/md-admissions/requirements"/>
    <hyperlink ref="A62" r:id="rId120" display="http://admissions.med.wayne.edu/requirements.php"/>
    <hyperlink ref="Y62" r:id="rId121" display="http://admissions.med.wayne.edu/requirements.php"/>
    <hyperlink ref="A63" r:id="rId122" display="http://med.wmich.edu/education/students/future-medical-students/application-requirements"/>
    <hyperlink ref="Y63" r:id="rId123" display="http://med.wmich.edu/education/students/future-students/admission-requirements"/>
    <hyperlink ref="A64" r:id="rId124" display="http://www.mayo.edu/mms/programs/md/admissions-and-application-process/prerequisites"/>
    <hyperlink ref="Y64" r:id="rId125" display="http://www.mayo.edu/mms/programs/md/admissions-and-application-process/prerequisites"/>
    <hyperlink ref="A65" r:id="rId126" display="http://www.med.umn.edu/medical-school-students/medical-school-admissions/prerequisites/index.htm"/>
    <hyperlink ref="Y65" r:id="rId127" display="http://www.med.umn.edu/medical-school-students/medical-school-admissions/prerequisites/index.htm"/>
    <hyperlink ref="A66" r:id="rId128" display="http://www.slu.edu/medicine/admissions/how-to-apply"/>
    <hyperlink ref="Y66" r:id="rId129" display="http://www.slu.edu/medicine/admissions/how-to-apply"/>
    <hyperlink ref="A67" r:id="rId130" display="http://medicine.missouri.edu/admissions/regular.html"/>
    <hyperlink ref="Y67" r:id="rId131" display="http://medicine.missouri.edu/admissions/regular.html"/>
    <hyperlink ref="A68" r:id="rId132" display="http://med.umkc.edu/md/requirements/"/>
    <hyperlink ref="Y68" r:id="rId133" display="http://med.umkc.edu/md/requirements/"/>
    <hyperlink ref="A69" r:id="rId134" display="https://mdadmissions.wustl.edu/how-to-apply/requirements/"/>
    <hyperlink ref="Y69" r:id="rId135" display="http://medadmissions.wustl.edu/HowtoApply/ApplicationProcess/Pages/Requirements.aspx"/>
    <hyperlink ref="A70" r:id="rId136" display="http://www.umc.edu/Education/Schools/Medicine/SOM_Admissions/Admissions_Criteria.aspx"/>
    <hyperlink ref="Y70" r:id="rId137" display="http://www.umc.edu/Education/Schools/Medicine/SOM_Admissions/Admissions_Criteria.aspx"/>
    <hyperlink ref="A71" r:id="rId138" display="http://dukemed.duke.edu/modules/ooa_applicant/index.php?id=21"/>
    <hyperlink ref="Y71" r:id="rId139" display="http://dukemed.duke.edu/modules/ooa_applicant/index.php?id=21"/>
    <hyperlink ref="A72" r:id="rId140" display="http://www.ecu.edu/cs-dhs/bsomadmissions/require.cfm"/>
    <hyperlink ref="Y72" r:id="rId141" display="http://www.ecu.edu/cs-dhs/bsomadmissions/require.cfm"/>
    <hyperlink ref="A73" r:id="rId142" display="http://www.med.unc.edu/admit/requirements-1/academic-requirements"/>
    <hyperlink ref="Y73" r:id="rId143" display="http://www.med.unc.edu/admit/requirements-1/academic-requirements"/>
    <hyperlink ref="A74" r:id="rId144" display="http://www.wakehealth.edu/School/MD-Program/Admissions/Academic-Requirements.htm"/>
    <hyperlink ref="Y74" r:id="rId145" location="credits" display="http://www.wakehealth.edu/School/Admissions/ - credits"/>
    <hyperlink ref="A75" r:id="rId146" display="http://www.med.und.edu/student-affairs-admissions/prerequisites.cfm"/>
    <hyperlink ref="Y75" r:id="rId147" display="http://www.med.und.edu/student-affairs-admissions/prerequisites.cfm"/>
    <hyperlink ref="A76" r:id="rId148" display="http://medschool.creighton.edu/medicine/oma/app/req/index.php"/>
    <hyperlink ref="Y76" r:id="rId149" display="http://medschool.creighton.edu/medicine/oma/app/req/index.php"/>
    <hyperlink ref="A77" r:id="rId150" display="http://www.unmc.edu/com/prospective/admissions/entrance-requirements.html"/>
    <hyperlink ref="Y77" r:id="rId151" display="http://www.unmc.edu/com/entrance.htm"/>
    <hyperlink ref="A78" r:id="rId152" display="http://geiselmed.dartmouth.edu/admissions/admission/"/>
    <hyperlink ref="Y78" r:id="rId153" display="http://geiselmed.dartmouth.edu/admissions/admission/"/>
    <hyperlink ref="A79" r:id="rId154" display="http://www.rowan.edu/coopermed/students/admissions/admissionrequirements.php"/>
    <hyperlink ref="Y79" r:id="rId155" display="http://www.rowan.edu/coopermed/students/admissions/prerequisites.php"/>
    <hyperlink ref="A80" r:id="rId156" display="http://njms.rutgers.edu/admissions/prospective/apply_requirements.cfm"/>
    <hyperlink ref="Y80" r:id="rId157" display="http://njms.rutgers.edu/admissions/prospective/apply_requirements.cfm"/>
    <hyperlink ref="A81" r:id="rId158" display="http://rwjms.umdnj.edu/education/admissions/selection_process.html"/>
    <hyperlink ref="Y81" r:id="rId159" display="http://rwjms.rutgers.edu/education/admissions/selection_process.html"/>
    <hyperlink ref="A82" r:id="rId160" display="http://som.unm.edu/education/md/admissions/prerequisites.html"/>
    <hyperlink ref="Y82" r:id="rId161" display="http://som.unm.edu/admissions/application/prerequisites.html"/>
    <hyperlink ref="A83" r:id="rId162" display="http://medicine.nevada.edu/asa/admissions/applicants/selection-factors/course-requirements"/>
    <hyperlink ref="Y83" r:id="rId163" display="http://medicine.nevada.edu/asa/admissions/applicants/selection-factors/course-requirements"/>
    <hyperlink ref="A84" r:id="rId164" display="http://www.amc.edu/academic/Undergraduate_Admissions/"/>
    <hyperlink ref="Y84" r:id="rId165" display="http://www.amc.edu/academic/Undergraduate_Admissions/"/>
    <hyperlink ref="A85" r:id="rId166" display="http://www.einstein.yu.edu/education/md-program/admissions/application-procedure/course-requirements.aspx"/>
    <hyperlink ref="Y85" r:id="rId167" display="http://www.einstein.yu.edu/education/md-program/admissions/application-procedure/course-requirements.aspx"/>
    <hyperlink ref="A86" r:id="rId168" display="http://ps.columbia.edu/education/admissions/applying/application-requirements"/>
    <hyperlink ref="Y86" r:id="rId169" display="http://ps.columbia.edu/education/admissions/applying/application-requirements"/>
    <hyperlink ref="A87" r:id="rId170" display="http://medicine.hofstra.edu/admission/md/mdadmissions_application_req.html"/>
    <hyperlink ref="Y87" r:id="rId171" display="http://medicine.hofstra.edu/admission/md/mdadmissions_application_req.html"/>
    <hyperlink ref="A88" r:id="rId172" display="http://icahn.mssm.edu/education/medical-education/programs/md-program/admissions/academic-standards"/>
    <hyperlink ref="Y88" r:id="rId173" display="http://icahn.mssm.edu/education/medical-education/programs/md-program/admissions/academic-standards"/>
    <hyperlink ref="A89" r:id="rId174" display="https://www.nymc.edu/school-of-medicine-som/admissions--financial-aid/how-to-apply/premedical-course-requirements/"/>
    <hyperlink ref="Y89" r:id="rId175" display="http://www.nymc.edu/Academics/SchoolOfMedicine/Admissions/PremedicalCourseworkRequirements.html"/>
    <hyperlink ref="A90" r:id="rId176" display="http://school.med.nyu.edu/md-admissions/how-apply/admissions-requirements-selection-criteria"/>
    <hyperlink ref="Y90" r:id="rId177" display="http://school.med.nyu.edu/md-admissions/how-apply/admissions-requirements-selection-criteria"/>
    <hyperlink ref="A91" r:id="rId178" display="http://sls.downstate.edu/admissions/com/requirements.html"/>
    <hyperlink ref="Y91" r:id="rId179" display="http://sls.downstate.edu/admissions/com/requirements.html"/>
    <hyperlink ref="A92" r:id="rId180" display="http://www.upstate.edu/com/admissions/faqs.php"/>
    <hyperlink ref="Y92" r:id="rId181" display="http://www.upstate.edu/com/admissions/faqs.php"/>
    <hyperlink ref="A93" r:id="rId182" display="https://medicine.stonybrookmedicine.edu/admissions/requirements"/>
    <hyperlink ref="Y93" r:id="rId183" display="http://medicine.stonybrookmedicine.edu/admissions/welcome"/>
    <hyperlink ref="A94" r:id="rId184" display="http://medicine.buffalo.edu/education/md/admissions/admission_requirements.html"/>
    <hyperlink ref="Y94" r:id="rId185" display="http://medicine.buffalo.edu/education/md/admissions/admission_requirements/prerequisite.html"/>
    <hyperlink ref="A95" r:id="rId186" display="http://www.urmc.rochester.edu/education/md/admissions/process-overview/admissions-requirements.cfm"/>
    <hyperlink ref="Y95" r:id="rId187" display="http://www.urmc.rochester.edu/education/md/admissions/process-overview/admissions-requirements.cfm"/>
    <hyperlink ref="A96" r:id="rId188" display="http://weill.cornell.edu/education/admissions/app_req.html"/>
    <hyperlink ref="Y96" r:id="rId189" display="http://weill.cornell.edu/education/admissions/app_req.html"/>
    <hyperlink ref="A97" r:id="rId190" display="http://casemed.case.edu/admissions/process/requirements.cfm"/>
    <hyperlink ref="Y97" r:id="rId191" display="http://casemed.case.edu/admissions/process/requirements.cfm"/>
    <hyperlink ref="A98" r:id="rId192" display="http://www.neomed.edu/admissions/medicine/direct/pre-requisites-and-requirements"/>
    <hyperlink ref="Y98" r:id="rId193" location="-span-mce-name--strong--mce-style--font-weight--bold---style--font-weight--bold---class--apple-style-span--prerequisite-course-work-for-m-d--applicants--span-" display="http://www.neomed.edu/admissions/medicine/direct/direct-entry-m.d.-admissions - -span-mce-name--strong--mce-style--font-weight--bold---style--font-weight--bold---class--apple-style-span--prerequisite-course-work-for-m-d--applicants--span-"/>
    <hyperlink ref="A99" r:id="rId194" display="http://medicine.osu.edu/admissions/md/preparing/pages/index.aspx"/>
    <hyperlink ref="Y99" r:id="rId195" display="http://medicine.osu.edu/admissions/md/preparing/pages/index.aspx"/>
    <hyperlink ref="A100" r:id="rId196" display="https://med.uc.edu/medicalstudentadmissions/mdrequirements"/>
    <hyperlink ref="Y100" r:id="rId197" display="http://med.uc.edu/StudentServices/MedicalStudentAdmissions/Requirements.aspx"/>
    <hyperlink ref="A101" r:id="rId198" display="http://www.utoledo.edu/med/md/admissions/index.html"/>
    <hyperlink ref="Y101" r:id="rId199" display="http://www.utoledo.edu/med/md/admissions/index.html"/>
    <hyperlink ref="A102" r:id="rId200" display="http://www.med.wright.edu/admiss/prerequisites"/>
    <hyperlink ref="Y102" r:id="rId201" display="http://www.med.wright.edu/admiss/prerequisites"/>
    <hyperlink ref="A103" r:id="rId202" display="https://www.oumedicine.com/college-of-medicine/information-about/admissionsadmissions"/>
    <hyperlink ref="Y103" r:id="rId203" display="http://www.oumedicine.com/collegeofmedicine/information-about-/admissions"/>
    <hyperlink ref="A104" r:id="rId204" display="http://www.ohsu.edu/xd/education/schools/school-of-medicine/academic-programs/md-program/admissions/requirements.cfm"/>
    <hyperlink ref="Y104" r:id="rId205" display="http://www.ohsu.edu/xd/education/schools/school-of-medicine/academic-programs/md-program/admissions/requirements.cfm"/>
    <hyperlink ref="A105" r:id="rId206" display="https://www.drexelmed.edu/Home/Admissions/MDProgram/AdmissionsRequirements.aspx"/>
    <hyperlink ref="Y105" r:id="rId207" display="https://www.drexelmed.edu/Home/Admissions/MDProgram/AdmissionsRequirements.aspx"/>
    <hyperlink ref="A106" r:id="rId208" display="http://www.jefferson.edu/university/skmc/admissions/applying.html"/>
    <hyperlink ref="Y106" r:id="rId209" display="http://www.jefferson.edu/jmc/admissions/apply/procedure.html"/>
    <hyperlink ref="A107" r:id="rId210" display="https://www2.med.psu.edu/mdadmissions/admissions/application-process/admissions-requirements/"/>
    <hyperlink ref="Y107" r:id="rId211" display="https://www2.med.psu.edu/mdadmissions/admissions/application-process/admissions-requirements/"/>
    <hyperlink ref="A108" r:id="rId212" display="http://www.med.upenn.edu/admiss/admissions1.html"/>
    <hyperlink ref="Y108" r:id="rId213" display="http://www.med.upenn.edu/admiss/admissions1.html"/>
    <hyperlink ref="A109" r:id="rId214" display="https://medicine.temple.edu/education/md-program/how-apply/requirements"/>
    <hyperlink ref="Y109" r:id="rId215" location="requirements" display="http://www.temple.edu/medicine/admissions/prospective_students/md_applicants.htm - requirements"/>
    <hyperlink ref="A110" r:id="rId216" display="https://tcmc.edu/admissions/md-admissions/md-admissions-requirements/"/>
    <hyperlink ref="Y110" r:id="rId217" display="http://www.thecommonwealthmedical.com/oth/Page.asp?PageID=OTH000156"/>
    <hyperlink ref="A111" r:id="rId218" display="http://www.medadmissions.pitt.edu/admissions-requirements/requirements.php"/>
    <hyperlink ref="Y111" r:id="rId219" display="http://www.medadmissions.pitt.edu/admissions-requirements/requirements.php"/>
    <hyperlink ref="A112" r:id="rId220" display="http://www.psm.edu/education/md-program/"/>
    <hyperlink ref="Y112" r:id="rId221" display="http://www.psm.edu/Student_Affairs/Admissions/programs.htm"/>
    <hyperlink ref="A113" r:id="rId222" display="http://www.sanjuanbautista.edu/Admissions.aspx"/>
    <hyperlink ref="Y113" r:id="rId223" display="http://www.sanjuanbautista.edu/Admissions.aspx"/>
    <hyperlink ref="A114" r:id="rId224" display="http://www.uccaribe.edu/admission/?page_id=1238"/>
    <hyperlink ref="Y114" r:id="rId225" display="http://www.uccaribe.edu/admission/?page_id=1238"/>
    <hyperlink ref="A115" r:id="rId226" display="http://md.rcm.upr.edu/md-program/"/>
    <hyperlink ref="Y115" r:id="rId227" display="http://md.rcm.upr.edu/md-program/"/>
    <hyperlink ref="A116" r:id="rId228" display="https://www.brown.edu/academics/medical/about/info-pages/admission-requirements"/>
    <hyperlink ref="Y116" r:id="rId229" display="http://brown.edu/academics/medical/admission/coursework"/>
    <hyperlink ref="A117" r:id="rId230" display="http://academicdepartments.musc.edu/com/admissions/applying_college/"/>
    <hyperlink ref="Y117" r:id="rId231" display="http://academicdepartments.musc.edu/esl/bulletin/medicine/admiss.html"/>
    <hyperlink ref="A118" r:id="rId232" display="http://admissions.med.sc.edu/admissions.requirements.asp"/>
    <hyperlink ref="Y118" r:id="rId233" display="http://admissions.med.sc.edu/admissions.requirements.asp"/>
    <hyperlink ref="A119" r:id="rId234" display="http://www.greenvillemed.sc.edu/admission.shtml"/>
    <hyperlink ref="Y119" r:id="rId235" display="http://www.greenvillemed.sc.edu/admission.shtml"/>
    <hyperlink ref="A120" r:id="rId236" display="http://www.usd.edu/medical-school/medical-doctor-program/application-requirements.cfm"/>
    <hyperlink ref="Y120" r:id="rId237" display="http://www.usd.edu/medical-school/medical-doctor-program/application-requirements.cfm"/>
    <hyperlink ref="A121" r:id="rId238" display="http://www.etsu.edu/com/sa/admissions/requirements/academicreq.aspx"/>
    <hyperlink ref="Y121" r:id="rId239" display="http://www.etsu.edu/com/sa/admissions/requirements/academicreq.aspx"/>
    <hyperlink ref="A122" r:id="rId240" display="http://www.mmc.edu/prospectivestudents/admissions/school-of-medicine/index.html"/>
    <hyperlink ref="Y122" r:id="rId241" display="http://www.mmc.edu/prospectivestudents/admissions/school-of-medicine/index.html"/>
    <hyperlink ref="A123" r:id="rId242" display="http://www.uthsc.edu/Medicine/Admissions/admissionsrequirements.php"/>
    <hyperlink ref="Y123" r:id="rId243" display="http://www.uthsc.edu/Medicine/Admissions/admissionsrequirements.php"/>
    <hyperlink ref="A124" r:id="rId244" display="https://medschool.vanderbilt.edu/md-admissions/admissions-process"/>
    <hyperlink ref="Y124" r:id="rId245" location="required" display="https://medschool.vanderbilt.edu/admissions/admission-requirements - required"/>
    <hyperlink ref="A125" r:id="rId246" display="https://www.bcm.edu/education/schools/medical-school/admissions/requirements"/>
    <hyperlink ref="Y125" r:id="rId247" display="https://www.bcm.edu/admissions/admissionsrequirements"/>
    <hyperlink ref="A126" r:id="rId248" display="https://medicine.tamhsc.edu/admissions/apply/index.html"/>
    <hyperlink ref="Y126" r:id="rId249" location="courses" display="http://medicine.tamhsc.edu/admissions/faq.html - courses"/>
    <hyperlink ref="A127" r:id="rId250" display="http://www.ttuhsc.edu/fostersom/admissions/requirements.aspx"/>
    <hyperlink ref="Y127" r:id="rId251" display="http://www.ttuhsc.edu/fostersom/admissions/requirements.aspx"/>
    <hyperlink ref="A128" r:id="rId252" display="http://www.ttuhsc.edu/som/admissions/reqs.aspx"/>
    <hyperlink ref="Y128" r:id="rId253" display="http://www.ttuhsc.edu/som/admissions/reqs.aspx"/>
    <hyperlink ref="A129" r:id="rId254" display="https://som.utmb.edu/Admissions/admission_requirements.asp"/>
    <hyperlink ref="Y129" r:id="rId255" display="http://www.utmb.edu/somstudentaffairs/admissions/admission_req.html"/>
    <hyperlink ref="A130" r:id="rId256" display="https://med.uth.edu/admissions/admissions-criteria/"/>
    <hyperlink ref="Y130" r:id="rId257" display="https://med.uth.edu/admissions/admissions-criteria/"/>
    <hyperlink ref="A131" r:id="rId258" display="http://som.uthscsa.edu/Admissions/prerequisites.asp"/>
    <hyperlink ref="Y131" r:id="rId259" display="http://som.uthscsa.edu/Admissions/prerequisites.asp"/>
    <hyperlink ref="A132" r:id="rId260" display="http://www.utsouthwestern.edu/education/medical-school/admissions/apply/process/prerequisites.html"/>
    <hyperlink ref="Y132" r:id="rId261" display="http://www.utsouthwestern.edu/education/medical-school/admissions/apply/process/prerequisites.html"/>
    <hyperlink ref="A135" r:id="rId262" display="http://medicine.utah.edu/admissions/begin/premedical.php"/>
    <hyperlink ref="Y135" r:id="rId263" display="http://medicine.utah.edu/admissions/begin/premedical.php"/>
    <hyperlink ref="A136" r:id="rId264" display="https://www.evms.edu/education/medical_programs/doctor_of_medicine/admissions_criteria/"/>
    <hyperlink ref="Y136" r:id="rId265" display="http://www.evms.edu/education/doctoral_programs/doctor_of_medicine/admissions_criteria/"/>
    <hyperlink ref="A137" r:id="rId266" display="http://www.medicine.virginia.edu/education/medical-students/admissions/the-uva-som-1/general-requirements.html"/>
    <hyperlink ref="Y137" r:id="rId267" display="http://www.medicine.virginia.edu/education/medical-students/admissions/the-uva-som-1/general-requirements.html"/>
    <hyperlink ref="A138" r:id="rId268" display="http://www.medschool.vcu.edu/admissions/md/prerequisites/"/>
    <hyperlink ref="Y138" r:id="rId269" display="http://www.medschool.vcu.edu/admissions/md/prerequisites.html"/>
    <hyperlink ref="A139" r:id="rId270" display="http://medicine.vtc.vt.edu/admissions/academic_requirements/"/>
    <hyperlink ref="Y139" r:id="rId271" display="http://www.vtc.vt.edu/education/admissions/academic_requirements.html"/>
    <hyperlink ref="A140" r:id="rId272" display="http://www.uvm.edu/medicine/admissions/?Page=requiredcoursework.html&amp;SM=applysubmenu.html"/>
    <hyperlink ref="Y140" r:id="rId273" display="http://www.uvm.edu/medicine/admissions/?Page=requiredcoursework.html&amp;SM=applysubmenu.html"/>
    <hyperlink ref="A141" r:id="rId274" display="http://www.uwmedicine.org/Education/MD-Program/Admissions/Applicants/Pages/Pre-med-Course-Requirements.aspx"/>
    <hyperlink ref="Y141" r:id="rId275" display="http://www.uwmedicine.org/Education/MD-Program/Admissions/Applicants/Pages/Pre-med-Course-Requirements.aspx"/>
    <hyperlink ref="A142" r:id="rId276" display="http://www.mcw.edu/Medical-School/Admissions/Milwaukee-Campus/Apply-MCW-Milwaukee/Before-You-Apply.htm"/>
    <hyperlink ref="Y142" r:id="rId277" display="http://www.mcw.edu/medicalschool/prerequisites.htm"/>
    <hyperlink ref="A143" r:id="rId278" display="http://www.med.wisc.edu/education/md/admissions/premedical-requirements/110"/>
    <hyperlink ref="Y143" r:id="rId279" display="http://www.med.wisc.edu/education/md/admissions/premedical-requirements/110"/>
    <hyperlink ref="A144" r:id="rId280" display="https://jcesom.marshall.edu/admissions/"/>
    <hyperlink ref="Y144" r:id="rId281" display="http://jcesom.marshall.edu/admissions/admissions-policy/"/>
    <hyperlink ref="A145" r:id="rId282" display="http://medicine.hsc.wvu.edu/students/office-of-admissions/how-to-apply/"/>
    <hyperlink ref="Y145" r:id="rId283" display="http://medicine.hsc.wvu.edu/Students/About-SoM/Admission-Process/Admission-Requirements"/>
    <hyperlink ref="A133" r:id="rId284"/>
    <hyperlink ref="A134" r:id="rId28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6"/>
  <sheetViews>
    <sheetView tabSelected="1" zoomScale="80" zoomScaleNormal="80" workbookViewId="0">
      <pane ySplit="1" topLeftCell="A2" activePane="bottomLeft" state="frozen"/>
      <selection pane="bottomLeft" activeCell="K1" sqref="K1"/>
    </sheetView>
  </sheetViews>
  <sheetFormatPr defaultRowHeight="15" x14ac:dyDescent="0.25"/>
  <cols>
    <col min="1" max="1" width="51.7109375" style="15" customWidth="1"/>
    <col min="2" max="2" width="5.5703125" customWidth="1"/>
    <col min="3" max="7" width="16.42578125" customWidth="1"/>
    <col min="8" max="8" width="16.5703125" customWidth="1"/>
    <col min="9" max="9" width="22.85546875" customWidth="1"/>
    <col min="10" max="10" width="25" customWidth="1"/>
    <col min="11" max="11" width="22.85546875" style="15" customWidth="1"/>
  </cols>
  <sheetData>
    <row r="1" spans="1:11" ht="83.25" customHeight="1" x14ac:dyDescent="0.25">
      <c r="A1" s="1" t="s">
        <v>1004</v>
      </c>
      <c r="B1" s="1" t="s">
        <v>0</v>
      </c>
      <c r="C1" s="20" t="s">
        <v>973</v>
      </c>
      <c r="D1" s="20" t="s">
        <v>974</v>
      </c>
      <c r="E1" s="20" t="s">
        <v>975</v>
      </c>
      <c r="F1" s="1" t="s">
        <v>977</v>
      </c>
      <c r="G1" s="20" t="s">
        <v>976</v>
      </c>
      <c r="H1" s="1" t="s">
        <v>978</v>
      </c>
      <c r="I1" s="20" t="s">
        <v>619</v>
      </c>
      <c r="J1" s="1" t="s">
        <v>979</v>
      </c>
      <c r="K1" s="17" t="s">
        <v>614</v>
      </c>
    </row>
    <row r="2" spans="1:11" s="29" customFormat="1" ht="88.5" customHeight="1" x14ac:dyDescent="0.25">
      <c r="A2" s="28" t="str">
        <f>HYPERLINK("https://www.uab.edu/medicine/home/future-students/admissions/minimum-requirements-for-consideration","University of Alabama School of Medicine")</f>
        <v>University of Alabama School of Medicine</v>
      </c>
      <c r="B2" s="29" t="s">
        <v>20</v>
      </c>
      <c r="C2" s="30" t="s">
        <v>28</v>
      </c>
      <c r="D2" s="30" t="s">
        <v>933</v>
      </c>
      <c r="E2" s="30" t="s">
        <v>44</v>
      </c>
      <c r="F2" s="25" t="s">
        <v>1009</v>
      </c>
      <c r="G2" s="30" t="s">
        <v>44</v>
      </c>
      <c r="H2" s="26" t="s">
        <v>908</v>
      </c>
      <c r="I2" s="25" t="s">
        <v>934</v>
      </c>
      <c r="J2" s="25" t="s">
        <v>28</v>
      </c>
      <c r="K2" s="25"/>
    </row>
    <row r="3" spans="1:11" s="33" customFormat="1" ht="45" x14ac:dyDescent="0.25">
      <c r="A3" s="32" t="str">
        <f>HYPERLINK("http://www.usahealthsystem.com/how-to-apply","University of South Alabama College of Medicine")</f>
        <v>University of South Alabama College of Medicine</v>
      </c>
      <c r="B3" s="33" t="s">
        <v>20</v>
      </c>
      <c r="C3" s="34" t="s">
        <v>44</v>
      </c>
      <c r="D3" s="34" t="s">
        <v>44</v>
      </c>
      <c r="E3" s="34" t="s">
        <v>44</v>
      </c>
      <c r="F3" s="35" t="s">
        <v>28</v>
      </c>
      <c r="G3" s="36" t="s">
        <v>44</v>
      </c>
      <c r="H3" s="37" t="s">
        <v>908</v>
      </c>
      <c r="I3" s="37" t="s">
        <v>935</v>
      </c>
      <c r="J3" s="37" t="s">
        <v>943</v>
      </c>
      <c r="K3" s="37"/>
    </row>
    <row r="4" spans="1:11" s="29" customFormat="1" ht="45" x14ac:dyDescent="0.25">
      <c r="A4" s="24" t="str">
        <f>HYPERLINK("http://medicine.uams.edu/for-medical-students/catalog/","University of Arkansas College of Medicine")</f>
        <v>University of Arkansas College of Medicine</v>
      </c>
      <c r="B4" s="29" t="s">
        <v>37</v>
      </c>
      <c r="C4" s="30" t="s">
        <v>28</v>
      </c>
      <c r="D4" s="30" t="s">
        <v>44</v>
      </c>
      <c r="E4" s="30" t="s">
        <v>1006</v>
      </c>
      <c r="F4" s="25" t="s">
        <v>44</v>
      </c>
      <c r="G4" s="31" t="s">
        <v>1006</v>
      </c>
      <c r="H4" s="25" t="s">
        <v>1005</v>
      </c>
      <c r="I4" s="25" t="s">
        <v>910</v>
      </c>
      <c r="J4" s="26" t="s">
        <v>1011</v>
      </c>
      <c r="K4" s="26"/>
    </row>
    <row r="5" spans="1:11" s="33" customFormat="1" ht="75" x14ac:dyDescent="0.25">
      <c r="A5" s="32" t="str">
        <f>HYPERLINK("http://medicine.arizona.edu/admissions/key-info/requirements","University of Arizona College of Medicine")</f>
        <v>University of Arizona College of Medicine</v>
      </c>
      <c r="B5" s="33" t="s">
        <v>46</v>
      </c>
      <c r="C5" s="34" t="s">
        <v>1007</v>
      </c>
      <c r="D5" s="34" t="s">
        <v>933</v>
      </c>
      <c r="E5" s="34" t="s">
        <v>1007</v>
      </c>
      <c r="F5" s="35" t="s">
        <v>1010</v>
      </c>
      <c r="G5" s="34" t="s">
        <v>1007</v>
      </c>
      <c r="H5" s="37" t="s">
        <v>28</v>
      </c>
      <c r="I5" s="37" t="s">
        <v>910</v>
      </c>
      <c r="J5" s="35" t="s">
        <v>28</v>
      </c>
      <c r="K5" s="35"/>
    </row>
    <row r="6" spans="1:11" s="29" customFormat="1" ht="60" x14ac:dyDescent="0.25">
      <c r="A6" s="24" t="str">
        <f>HYPERLINK("http://phoenixmed.arizona.edu/admissions/admission-qualifications/academic-requirements","University of Arizona College of Medicine - Phoenix")</f>
        <v>University of Arizona College of Medicine - Phoenix</v>
      </c>
      <c r="B6" s="29" t="s">
        <v>46</v>
      </c>
      <c r="C6" s="30" t="s">
        <v>1008</v>
      </c>
      <c r="D6" s="30" t="s">
        <v>28</v>
      </c>
      <c r="E6" s="30" t="s">
        <v>1006</v>
      </c>
      <c r="F6" s="26" t="s">
        <v>44</v>
      </c>
      <c r="G6" s="25" t="s">
        <v>28</v>
      </c>
      <c r="H6" s="25" t="s">
        <v>44</v>
      </c>
      <c r="I6" s="25" t="s">
        <v>921</v>
      </c>
      <c r="J6" s="25" t="s">
        <v>1012</v>
      </c>
      <c r="K6" s="25"/>
    </row>
    <row r="7" spans="1:11" s="33" customFormat="1" ht="42" customHeight="1" x14ac:dyDescent="0.25">
      <c r="A7" s="38" t="str">
        <f>HYPERLINK("http://keck.usc.edu/About/Administrative_Offices/Office_of_MD_Admissions/Admissions_Process.aspx","Keck School of Medicine of the University of Southern California")</f>
        <v>Keck School of Medicine of the University of Southern California</v>
      </c>
      <c r="B7" s="33" t="s">
        <v>56</v>
      </c>
      <c r="C7" s="34" t="s">
        <v>28</v>
      </c>
      <c r="D7" s="34" t="s">
        <v>28</v>
      </c>
      <c r="E7" s="34" t="s">
        <v>28</v>
      </c>
      <c r="F7" s="35" t="s">
        <v>28</v>
      </c>
      <c r="G7" s="35" t="s">
        <v>28</v>
      </c>
      <c r="H7" s="37" t="s">
        <v>28</v>
      </c>
      <c r="I7" s="35" t="s">
        <v>28</v>
      </c>
      <c r="J7" s="35" t="s">
        <v>28</v>
      </c>
      <c r="K7" s="35" t="s">
        <v>981</v>
      </c>
    </row>
    <row r="8" spans="1:11" s="29" customFormat="1" x14ac:dyDescent="0.25">
      <c r="A8" s="24" t="str">
        <f>HYPERLINK("http://www.llu.edu/medicine/admissions/admissions-requirements.page?","Loma Linda University School of Medicine")</f>
        <v>Loma Linda University School of Medicine</v>
      </c>
      <c r="B8" s="29" t="s">
        <v>56</v>
      </c>
      <c r="C8" s="30" t="s">
        <v>44</v>
      </c>
      <c r="D8" s="30" t="s">
        <v>44</v>
      </c>
      <c r="E8" s="30" t="s">
        <v>44</v>
      </c>
      <c r="F8" s="26" t="s">
        <v>44</v>
      </c>
      <c r="G8" s="30" t="s">
        <v>44</v>
      </c>
      <c r="H8" s="26" t="s">
        <v>28</v>
      </c>
      <c r="I8" s="25" t="s">
        <v>28</v>
      </c>
      <c r="J8" s="26" t="s">
        <v>28</v>
      </c>
      <c r="K8" s="26"/>
    </row>
    <row r="9" spans="1:11" s="33" customFormat="1" ht="30.75" customHeight="1" x14ac:dyDescent="0.25">
      <c r="A9" s="38" t="str">
        <f>HYPERLINK("http://med.stanford.edu/md/admissions/","Stanford University School of Medicine")</f>
        <v>Stanford University School of Medicine</v>
      </c>
      <c r="B9" s="33" t="s">
        <v>56</v>
      </c>
      <c r="C9" s="34" t="s">
        <v>28</v>
      </c>
      <c r="D9" s="34" t="s">
        <v>28</v>
      </c>
      <c r="E9" s="34" t="s">
        <v>28</v>
      </c>
      <c r="F9" s="37" t="s">
        <v>28</v>
      </c>
      <c r="G9" s="35" t="s">
        <v>28</v>
      </c>
      <c r="H9" s="35" t="s">
        <v>28</v>
      </c>
      <c r="I9" s="35" t="s">
        <v>28</v>
      </c>
      <c r="J9" s="37" t="s">
        <v>28</v>
      </c>
      <c r="K9" s="37" t="s">
        <v>981</v>
      </c>
    </row>
    <row r="10" spans="1:11" s="29" customFormat="1" ht="30" x14ac:dyDescent="0.25">
      <c r="A10" s="28" t="str">
        <f>HYPERLINK("http://www.ucdmc.ucdavis.edu/mdprogram/admissions/requirements.html","University of California, Davis, School of Medicine")</f>
        <v>University of California, Davis, School of Medicine</v>
      </c>
      <c r="B10" s="29" t="s">
        <v>56</v>
      </c>
      <c r="C10" s="30" t="s">
        <v>1006</v>
      </c>
      <c r="D10" s="30" t="s">
        <v>1006</v>
      </c>
      <c r="E10" s="30" t="s">
        <v>1006</v>
      </c>
      <c r="F10" s="26" t="s">
        <v>28</v>
      </c>
      <c r="G10" s="30" t="s">
        <v>1006</v>
      </c>
      <c r="H10" s="26" t="s">
        <v>28</v>
      </c>
      <c r="I10" s="25" t="s">
        <v>28</v>
      </c>
      <c r="J10" s="26" t="s">
        <v>28</v>
      </c>
      <c r="K10" s="26"/>
    </row>
    <row r="11" spans="1:11" s="33" customFormat="1" ht="30" x14ac:dyDescent="0.25">
      <c r="A11" s="38" t="str">
        <f>HYPERLINK("http://www.meded.uci.edu/Admissions/admissions_information.asp","University of California, Irvine School of Medicine")</f>
        <v>University of California, Irvine School of Medicine</v>
      </c>
      <c r="B11" s="33" t="s">
        <v>56</v>
      </c>
      <c r="C11" s="34" t="s">
        <v>1006</v>
      </c>
      <c r="D11" s="34" t="s">
        <v>1006</v>
      </c>
      <c r="E11" s="34" t="s">
        <v>44</v>
      </c>
      <c r="F11" s="37" t="s">
        <v>44</v>
      </c>
      <c r="G11" s="34" t="s">
        <v>1006</v>
      </c>
      <c r="H11" s="37" t="s">
        <v>28</v>
      </c>
      <c r="I11" s="35" t="s">
        <v>28</v>
      </c>
      <c r="J11" s="37" t="s">
        <v>937</v>
      </c>
      <c r="K11" s="37"/>
    </row>
    <row r="12" spans="1:11" s="29" customFormat="1" ht="79.5" customHeight="1" x14ac:dyDescent="0.25">
      <c r="A12" s="24" t="str">
        <f>HYPERLINK("http://www.medstudent.ucla.edu/offices/admiss/admreq.cfm","University of California, Los Angeles, David Geffen School of Medicine")</f>
        <v>University of California, Los Angeles, David Geffen School of Medicine</v>
      </c>
      <c r="B12" s="29" t="s">
        <v>56</v>
      </c>
      <c r="C12" s="30" t="s">
        <v>44</v>
      </c>
      <c r="D12" s="30" t="s">
        <v>44</v>
      </c>
      <c r="E12" s="30" t="s">
        <v>44</v>
      </c>
      <c r="F12" s="26" t="s">
        <v>28</v>
      </c>
      <c r="G12" s="30" t="s">
        <v>44</v>
      </c>
      <c r="H12" s="26" t="s">
        <v>1013</v>
      </c>
      <c r="I12" s="25" t="s">
        <v>1014</v>
      </c>
      <c r="J12" s="25" t="s">
        <v>28</v>
      </c>
      <c r="K12" s="25" t="s">
        <v>980</v>
      </c>
    </row>
    <row r="13" spans="1:11" s="33" customFormat="1" ht="75" customHeight="1" x14ac:dyDescent="0.25">
      <c r="A13" s="32" t="str">
        <f>HYPERLINK("http://medschool.ucr.edu/admissions/","University of California, Riverside School of Medicine")</f>
        <v>University of California, Riverside School of Medicine</v>
      </c>
      <c r="B13" s="33" t="s">
        <v>56</v>
      </c>
      <c r="C13" s="35" t="s">
        <v>44</v>
      </c>
      <c r="D13" s="35" t="s">
        <v>44</v>
      </c>
      <c r="E13" s="35" t="s">
        <v>44</v>
      </c>
      <c r="F13" s="35" t="s">
        <v>28</v>
      </c>
      <c r="G13" s="35" t="s">
        <v>44</v>
      </c>
      <c r="H13" s="37" t="s">
        <v>1013</v>
      </c>
      <c r="I13" s="35" t="s">
        <v>1015</v>
      </c>
      <c r="J13" s="35" t="s">
        <v>28</v>
      </c>
      <c r="K13" s="39"/>
    </row>
    <row r="14" spans="1:11" s="29" customFormat="1" ht="49.5" customHeight="1" x14ac:dyDescent="0.25">
      <c r="A14" s="24" t="str">
        <f>HYPERLINK("http://meded.ucsd.edu/index.cfm/asa/admissions/application_process/step_by_step/","University of California, San Diego School of Medicine")</f>
        <v>University of California, San Diego School of Medicine</v>
      </c>
      <c r="B14" s="29" t="s">
        <v>56</v>
      </c>
      <c r="C14" s="30" t="s">
        <v>28</v>
      </c>
      <c r="D14" s="30" t="s">
        <v>28</v>
      </c>
      <c r="E14" s="30" t="s">
        <v>28</v>
      </c>
      <c r="F14" s="25" t="s">
        <v>28</v>
      </c>
      <c r="G14" s="25" t="s">
        <v>28</v>
      </c>
      <c r="H14" s="25" t="s">
        <v>28</v>
      </c>
      <c r="I14" s="25" t="s">
        <v>28</v>
      </c>
      <c r="J14" s="26" t="s">
        <v>28</v>
      </c>
      <c r="K14" s="25" t="s">
        <v>981</v>
      </c>
    </row>
    <row r="15" spans="1:11" s="33" customFormat="1" ht="45" x14ac:dyDescent="0.25">
      <c r="A15" s="32" t="str">
        <f>HYPERLINK("http://meded.ucsf.edu/admissions/getting-started","University of California, San Francisco School of Medicine")</f>
        <v>University of California, San Francisco School of Medicine</v>
      </c>
      <c r="B15" s="33" t="s">
        <v>56</v>
      </c>
      <c r="C15" s="34" t="s">
        <v>44</v>
      </c>
      <c r="D15" s="34" t="s">
        <v>44</v>
      </c>
      <c r="E15" s="34" t="s">
        <v>938</v>
      </c>
      <c r="F15" s="37" t="s">
        <v>28</v>
      </c>
      <c r="G15" s="35" t="s">
        <v>44</v>
      </c>
      <c r="H15" s="37" t="s">
        <v>28</v>
      </c>
      <c r="I15" s="35" t="s">
        <v>28</v>
      </c>
      <c r="J15" s="35" t="s">
        <v>28</v>
      </c>
      <c r="K15" s="37"/>
    </row>
    <row r="16" spans="1:11" s="29" customFormat="1" ht="45" x14ac:dyDescent="0.25">
      <c r="A16" s="28" t="str">
        <f>HYPERLINK("http://www.ucdenver.edu/academics/colleges/medicalschool/education/Admissions/apply/Pages/Requirements.aspx","University of Colorado School of Medicine")</f>
        <v>University of Colorado School of Medicine</v>
      </c>
      <c r="B16" s="29" t="s">
        <v>98</v>
      </c>
      <c r="C16" s="30" t="s">
        <v>44</v>
      </c>
      <c r="D16" s="30" t="s">
        <v>44</v>
      </c>
      <c r="E16" s="30" t="s">
        <v>44</v>
      </c>
      <c r="F16" s="25" t="s">
        <v>28</v>
      </c>
      <c r="G16" s="30" t="s">
        <v>44</v>
      </c>
      <c r="H16" s="25" t="s">
        <v>908</v>
      </c>
      <c r="I16" s="25" t="s">
        <v>1016</v>
      </c>
      <c r="J16" s="25" t="s">
        <v>28</v>
      </c>
      <c r="K16" s="26"/>
    </row>
    <row r="17" spans="1:11" s="33" customFormat="1" ht="30" x14ac:dyDescent="0.25">
      <c r="A17" s="32" t="str">
        <f>HYPERLINK("http://www.quinnipiac.edu/academics/colleges-schools-and-departments/school-of-medicine/admissions/academic-requirements/","Frank H. Netter School of Medicine")</f>
        <v>Frank H. Netter School of Medicine</v>
      </c>
      <c r="B17" s="33" t="s">
        <v>103</v>
      </c>
      <c r="C17" s="34" t="s">
        <v>44</v>
      </c>
      <c r="D17" s="34" t="s">
        <v>44</v>
      </c>
      <c r="E17" s="34" t="s">
        <v>44</v>
      </c>
      <c r="F17" s="37" t="s">
        <v>28</v>
      </c>
      <c r="G17" s="35" t="s">
        <v>1006</v>
      </c>
      <c r="H17" s="35" t="s">
        <v>908</v>
      </c>
      <c r="I17" s="35" t="s">
        <v>931</v>
      </c>
      <c r="J17" s="37" t="s">
        <v>28</v>
      </c>
      <c r="K17" s="37"/>
    </row>
    <row r="18" spans="1:11" s="29" customFormat="1" ht="75" x14ac:dyDescent="0.25">
      <c r="A18" s="24" t="str">
        <f>HYPERLINK("http://medicine.uchc.edu/prospective/apply/index.html","University of Connecticut School of Medicine")</f>
        <v>University of Connecticut School of Medicine</v>
      </c>
      <c r="B18" s="29" t="s">
        <v>103</v>
      </c>
      <c r="C18" s="30" t="s">
        <v>939</v>
      </c>
      <c r="D18" s="30" t="s">
        <v>1018</v>
      </c>
      <c r="E18" s="30" t="s">
        <v>44</v>
      </c>
      <c r="F18" s="25" t="s">
        <v>28</v>
      </c>
      <c r="G18" s="30" t="s">
        <v>44</v>
      </c>
      <c r="H18" s="26" t="s">
        <v>28</v>
      </c>
      <c r="I18" s="25" t="s">
        <v>910</v>
      </c>
      <c r="J18" s="25" t="s">
        <v>28</v>
      </c>
      <c r="K18" s="25" t="s">
        <v>1017</v>
      </c>
    </row>
    <row r="19" spans="1:11" s="33" customFormat="1" ht="30" x14ac:dyDescent="0.25">
      <c r="A19" s="38" t="str">
        <f>HYPERLINK("http://medicine.yale.edu/education/admissions/apply/premed.aspx","Yale University School of Medicine")</f>
        <v>Yale University School of Medicine</v>
      </c>
      <c r="B19" s="33" t="s">
        <v>103</v>
      </c>
      <c r="C19" s="34" t="s">
        <v>44</v>
      </c>
      <c r="D19" s="34" t="s">
        <v>940</v>
      </c>
      <c r="E19" s="34" t="s">
        <v>44</v>
      </c>
      <c r="F19" s="37" t="s">
        <v>44</v>
      </c>
      <c r="G19" s="34" t="s">
        <v>44</v>
      </c>
      <c r="H19" s="37" t="s">
        <v>28</v>
      </c>
      <c r="I19" s="35" t="s">
        <v>28</v>
      </c>
      <c r="J19" s="37" t="s">
        <v>28</v>
      </c>
      <c r="K19" s="37"/>
    </row>
    <row r="20" spans="1:11" s="29" customFormat="1" ht="57" customHeight="1" x14ac:dyDescent="0.25">
      <c r="A20" s="24" t="str">
        <f>HYPERLINK("http://smhs.gwu.edu/mdprograms/admissions/faqs/index.html#WhatarethecourserequirementsforadmissiontoGWMedicalSchool","George Washington University School of Medicine and Health Sciences")</f>
        <v>George Washington University School of Medicine and Health Sciences</v>
      </c>
      <c r="B20" s="29" t="s">
        <v>117</v>
      </c>
      <c r="C20" s="30" t="s">
        <v>28</v>
      </c>
      <c r="D20" s="30" t="s">
        <v>28</v>
      </c>
      <c r="E20" s="30" t="s">
        <v>28</v>
      </c>
      <c r="F20" s="26" t="s">
        <v>28</v>
      </c>
      <c r="G20" s="25" t="s">
        <v>28</v>
      </c>
      <c r="H20" s="26" t="s">
        <v>28</v>
      </c>
      <c r="I20" s="25" t="s">
        <v>28</v>
      </c>
      <c r="J20" s="25" t="s">
        <v>28</v>
      </c>
      <c r="K20" s="25" t="s">
        <v>982</v>
      </c>
    </row>
    <row r="21" spans="1:11" s="33" customFormat="1" ht="60" x14ac:dyDescent="0.25">
      <c r="A21" s="38" t="str">
        <f>HYPERLINK("https://georgetown.app.box.com/s/1qg8bh8vya2j3s2k8r7c","Georgetown University School of Medicine")</f>
        <v>Georgetown University School of Medicine</v>
      </c>
      <c r="B21" s="33" t="s">
        <v>117</v>
      </c>
      <c r="C21" s="35" t="s">
        <v>44</v>
      </c>
      <c r="D21" s="35" t="s">
        <v>1019</v>
      </c>
      <c r="E21" s="35" t="s">
        <v>44</v>
      </c>
      <c r="F21" s="35" t="s">
        <v>941</v>
      </c>
      <c r="G21" s="35" t="s">
        <v>44</v>
      </c>
      <c r="H21" s="37" t="s">
        <v>44</v>
      </c>
      <c r="I21" s="35" t="s">
        <v>28</v>
      </c>
      <c r="J21" s="35" t="s">
        <v>28</v>
      </c>
      <c r="K21" s="35"/>
    </row>
    <row r="22" spans="1:11" s="29" customFormat="1" ht="30" x14ac:dyDescent="0.25">
      <c r="A22" s="24" t="str">
        <f>HYPERLINK("http://healthsciences.howard.edu/education/schools-and-academics/medicine/admissions/requirements%20and%20procedures","Howard University College of Medicine")</f>
        <v>Howard University College of Medicine</v>
      </c>
      <c r="B22" s="29" t="s">
        <v>117</v>
      </c>
      <c r="C22" s="25" t="s">
        <v>44</v>
      </c>
      <c r="D22" s="25" t="s">
        <v>44</v>
      </c>
      <c r="E22" s="25" t="s">
        <v>44</v>
      </c>
      <c r="F22" s="26" t="s">
        <v>28</v>
      </c>
      <c r="G22" s="25" t="s">
        <v>44</v>
      </c>
      <c r="H22" s="25" t="s">
        <v>908</v>
      </c>
      <c r="I22" s="25" t="s">
        <v>910</v>
      </c>
      <c r="J22" s="25" t="s">
        <v>943</v>
      </c>
      <c r="K22" s="26"/>
    </row>
    <row r="23" spans="1:11" s="33" customFormat="1" ht="60" x14ac:dyDescent="0.25">
      <c r="A23" s="38" t="str">
        <f>HYPERLINK("http://med.fau.edu/admissions/index.php#PRE-REQUISITES","Florida Atlantic University Charles E. Schmidt College of Medicine")</f>
        <v>Florida Atlantic University Charles E. Schmidt College of Medicine</v>
      </c>
      <c r="B23" s="33" t="s">
        <v>132</v>
      </c>
      <c r="C23" s="35" t="s">
        <v>44</v>
      </c>
      <c r="D23" s="35" t="s">
        <v>1019</v>
      </c>
      <c r="E23" s="35" t="s">
        <v>44</v>
      </c>
      <c r="F23" s="37" t="s">
        <v>28</v>
      </c>
      <c r="G23" s="35" t="s">
        <v>44</v>
      </c>
      <c r="H23" s="35" t="s">
        <v>908</v>
      </c>
      <c r="I23" s="35" t="s">
        <v>909</v>
      </c>
      <c r="J23" s="37" t="s">
        <v>944</v>
      </c>
      <c r="K23" s="37"/>
    </row>
    <row r="24" spans="1:11" s="29" customFormat="1" ht="30" x14ac:dyDescent="0.25">
      <c r="A24" s="28" t="str">
        <f>HYPERLINK("http://medicine.fiu.edu/admissions/md/academic-reqs/index.html","Florida International University Herbert Wertheim College of Medicine")</f>
        <v>Florida International University Herbert Wertheim College of Medicine</v>
      </c>
      <c r="B24" s="29" t="s">
        <v>132</v>
      </c>
      <c r="C24" s="25" t="s">
        <v>44</v>
      </c>
      <c r="D24" s="25" t="s">
        <v>44</v>
      </c>
      <c r="E24" s="25" t="s">
        <v>44</v>
      </c>
      <c r="F24" s="26" t="s">
        <v>28</v>
      </c>
      <c r="G24" s="25" t="s">
        <v>44</v>
      </c>
      <c r="H24" s="25" t="s">
        <v>908</v>
      </c>
      <c r="I24" s="25" t="s">
        <v>910</v>
      </c>
      <c r="J24" s="25" t="s">
        <v>28</v>
      </c>
      <c r="K24" s="26"/>
    </row>
    <row r="25" spans="1:11" s="33" customFormat="1" ht="30" x14ac:dyDescent="0.25">
      <c r="A25" s="38" t="str">
        <f>HYPERLINK("http://med.fsu.edu/?page=mdAdmissions.admissionRequirements#prereq","Florida State University")</f>
        <v>Florida State University</v>
      </c>
      <c r="B25" s="33" t="s">
        <v>132</v>
      </c>
      <c r="C25" s="35" t="s">
        <v>28</v>
      </c>
      <c r="D25" s="34" t="s">
        <v>940</v>
      </c>
      <c r="E25" s="34" t="s">
        <v>44</v>
      </c>
      <c r="F25" s="37" t="s">
        <v>44</v>
      </c>
      <c r="G25" s="35" t="s">
        <v>44</v>
      </c>
      <c r="H25" s="35" t="s">
        <v>908</v>
      </c>
      <c r="I25" s="35" t="s">
        <v>931</v>
      </c>
      <c r="J25" s="35" t="s">
        <v>28</v>
      </c>
      <c r="K25" s="37"/>
    </row>
    <row r="26" spans="1:11" s="29" customFormat="1" ht="30" x14ac:dyDescent="0.25">
      <c r="A26" s="28" t="str">
        <f>HYPERLINK("http://med.ucf.edu/administrative-offices/student-affairs/admissions/application-requirements/academic-admissions-requirements/","University of Central Florida College of Medicine")</f>
        <v>University of Central Florida College of Medicine</v>
      </c>
      <c r="B26" s="29" t="s">
        <v>132</v>
      </c>
      <c r="C26" s="25" t="s">
        <v>44</v>
      </c>
      <c r="D26" s="25" t="s">
        <v>44</v>
      </c>
      <c r="E26" s="25" t="s">
        <v>44</v>
      </c>
      <c r="F26" s="26" t="s">
        <v>28</v>
      </c>
      <c r="G26" s="25" t="s">
        <v>44</v>
      </c>
      <c r="H26" s="25" t="s">
        <v>908</v>
      </c>
      <c r="I26" s="25" t="s">
        <v>931</v>
      </c>
      <c r="J26" s="25" t="s">
        <v>28</v>
      </c>
      <c r="K26" s="26"/>
    </row>
    <row r="27" spans="1:11" s="33" customFormat="1" ht="30" x14ac:dyDescent="0.25">
      <c r="A27" s="32" t="str">
        <f>HYPERLINK("http://admissions.med.ufl.edu/admission-requirements/regular-admission-requirements/","University of Florida College of Medicine")</f>
        <v>University of Florida College of Medicine</v>
      </c>
      <c r="B27" s="33" t="s">
        <v>132</v>
      </c>
      <c r="C27" s="35" t="s">
        <v>44</v>
      </c>
      <c r="D27" s="35" t="s">
        <v>940</v>
      </c>
      <c r="E27" s="35" t="s">
        <v>44</v>
      </c>
      <c r="F27" s="37" t="s">
        <v>44</v>
      </c>
      <c r="G27" s="35" t="s">
        <v>44</v>
      </c>
      <c r="H27" s="37" t="s">
        <v>28</v>
      </c>
      <c r="I27" s="35" t="s">
        <v>28</v>
      </c>
      <c r="J27" s="37" t="s">
        <v>28</v>
      </c>
      <c r="K27" s="37"/>
    </row>
    <row r="28" spans="1:11" s="29" customFormat="1" ht="30" x14ac:dyDescent="0.25">
      <c r="A28" s="28" t="str">
        <f>HYPERLINK("http://admissions.med.miami.edu/md-programs/general-md/prerequisites","University of Miami School of Medicine")</f>
        <v>University of Miami School of Medicine</v>
      </c>
      <c r="B28" s="29" t="s">
        <v>132</v>
      </c>
      <c r="C28" s="25" t="s">
        <v>44</v>
      </c>
      <c r="D28" s="30" t="s">
        <v>940</v>
      </c>
      <c r="E28" s="25" t="s">
        <v>44</v>
      </c>
      <c r="F28" s="26" t="s">
        <v>44</v>
      </c>
      <c r="G28" s="25" t="s">
        <v>44</v>
      </c>
      <c r="H28" s="26" t="s">
        <v>28</v>
      </c>
      <c r="I28" s="25" t="s">
        <v>910</v>
      </c>
      <c r="J28" s="25" t="s">
        <v>1020</v>
      </c>
      <c r="K28" s="26"/>
    </row>
    <row r="29" spans="1:11" s="33" customFormat="1" ht="63.75" customHeight="1" x14ac:dyDescent="0.25">
      <c r="A29" s="32" t="str">
        <f>HYPERLINK("http://health.usf.edu/medicine/mdprogram/mdadmissions/requirements.htm","University of South Florida Morsani College of Medicine")</f>
        <v>University of South Florida Morsani College of Medicine</v>
      </c>
      <c r="B29" s="33" t="s">
        <v>132</v>
      </c>
      <c r="C29" s="34" t="s">
        <v>28</v>
      </c>
      <c r="D29" s="34" t="s">
        <v>940</v>
      </c>
      <c r="E29" s="34" t="s">
        <v>44</v>
      </c>
      <c r="F29" s="35" t="s">
        <v>44</v>
      </c>
      <c r="G29" s="34" t="s">
        <v>44</v>
      </c>
      <c r="H29" s="37" t="s">
        <v>908</v>
      </c>
      <c r="I29" s="35" t="s">
        <v>983</v>
      </c>
      <c r="J29" s="35" t="s">
        <v>28</v>
      </c>
      <c r="K29" s="37"/>
    </row>
    <row r="30" spans="1:11" s="29" customFormat="1" ht="45" x14ac:dyDescent="0.25">
      <c r="A30" s="28" t="str">
        <f>HYPERLINK("http://med.emory.edu/education/admissions/md/how_to_apply/application_requirements.html","Emory University School of Medicine")</f>
        <v>Emory University School of Medicine</v>
      </c>
      <c r="B30" s="29" t="s">
        <v>161</v>
      </c>
      <c r="C30" s="30" t="s">
        <v>44</v>
      </c>
      <c r="D30" s="30" t="s">
        <v>44</v>
      </c>
      <c r="E30" s="30" t="s">
        <v>44</v>
      </c>
      <c r="F30" s="26" t="s">
        <v>28</v>
      </c>
      <c r="G30" s="30" t="s">
        <v>44</v>
      </c>
      <c r="H30" s="25" t="s">
        <v>28</v>
      </c>
      <c r="I30" s="25" t="s">
        <v>910</v>
      </c>
      <c r="J30" s="25" t="s">
        <v>1021</v>
      </c>
      <c r="K30" s="26"/>
    </row>
    <row r="31" spans="1:11" s="33" customFormat="1" ht="45" x14ac:dyDescent="0.25">
      <c r="A31" s="32" t="str">
        <f>HYPERLINK("http://www.gru.edu/mcg/admissions/application/prerequisites.php","Medical College of Georgia at Regents University")</f>
        <v>Medical College of Georgia at Regents University</v>
      </c>
      <c r="B31" s="33" t="s">
        <v>161</v>
      </c>
      <c r="C31" s="34" t="s">
        <v>44</v>
      </c>
      <c r="D31" s="34" t="s">
        <v>44</v>
      </c>
      <c r="E31" s="34" t="s">
        <v>44</v>
      </c>
      <c r="F31" s="35" t="s">
        <v>44</v>
      </c>
      <c r="G31" s="34" t="s">
        <v>44</v>
      </c>
      <c r="H31" s="35" t="s">
        <v>945</v>
      </c>
      <c r="I31" s="35" t="s">
        <v>1022</v>
      </c>
      <c r="J31" s="35" t="s">
        <v>28</v>
      </c>
      <c r="K31" s="37"/>
    </row>
    <row r="32" spans="1:11" s="29" customFormat="1" x14ac:dyDescent="0.25">
      <c r="A32" s="28" t="str">
        <f>HYPERLINK("http://medicine.mercer.edu/admissions/md/","Mercer University School of Medicine")</f>
        <v>Mercer University School of Medicine</v>
      </c>
      <c r="B32" s="29" t="s">
        <v>161</v>
      </c>
      <c r="C32" s="30" t="s">
        <v>44</v>
      </c>
      <c r="D32" s="30" t="s">
        <v>44</v>
      </c>
      <c r="E32" s="30" t="s">
        <v>44</v>
      </c>
      <c r="F32" s="25" t="s">
        <v>28</v>
      </c>
      <c r="G32" s="30" t="s">
        <v>44</v>
      </c>
      <c r="H32" s="25" t="s">
        <v>28</v>
      </c>
      <c r="I32" s="25" t="s">
        <v>28</v>
      </c>
      <c r="J32" s="26" t="s">
        <v>28</v>
      </c>
      <c r="K32" s="26"/>
    </row>
    <row r="33" spans="1:11" s="33" customFormat="1" ht="30" x14ac:dyDescent="0.25">
      <c r="A33" s="38" t="str">
        <f>HYPERLINK("http://www.msm.edu/prospective_students/MDadmissions/entrancerequirements.aspx","Morehouse School of Medicine")</f>
        <v>Morehouse School of Medicine</v>
      </c>
      <c r="B33" s="33" t="s">
        <v>161</v>
      </c>
      <c r="C33" s="34" t="s">
        <v>44</v>
      </c>
      <c r="D33" s="34" t="s">
        <v>44</v>
      </c>
      <c r="E33" s="34" t="s">
        <v>44</v>
      </c>
      <c r="F33" s="35" t="s">
        <v>28</v>
      </c>
      <c r="G33" s="34" t="s">
        <v>44</v>
      </c>
      <c r="H33" s="37" t="s">
        <v>908</v>
      </c>
      <c r="I33" s="35" t="s">
        <v>1023</v>
      </c>
      <c r="J33" s="35" t="s">
        <v>28</v>
      </c>
      <c r="K33" s="37"/>
    </row>
    <row r="34" spans="1:11" s="29" customFormat="1" ht="30" x14ac:dyDescent="0.25">
      <c r="A34" s="24" t="str">
        <f>HYPERLINK("http://jabsom.hawaii.edu/JABSOM/admissions/mdprogram.php?l1=mdp&amp;l2=proS","University of Hawaii at Manoa, John A. Burns School of Medicine")</f>
        <v>University of Hawaii at Manoa, John A. Burns School of Medicine</v>
      </c>
      <c r="B34" s="29" t="s">
        <v>178</v>
      </c>
      <c r="C34" s="30" t="s">
        <v>44</v>
      </c>
      <c r="D34" s="30" t="s">
        <v>44</v>
      </c>
      <c r="E34" s="30" t="s">
        <v>44</v>
      </c>
      <c r="F34" s="26" t="s">
        <v>44</v>
      </c>
      <c r="G34" s="30" t="s">
        <v>44</v>
      </c>
      <c r="H34" s="25" t="s">
        <v>28</v>
      </c>
      <c r="I34" s="25" t="s">
        <v>28</v>
      </c>
      <c r="J34" s="25" t="s">
        <v>946</v>
      </c>
      <c r="K34" s="26"/>
    </row>
    <row r="35" spans="1:11" s="33" customFormat="1" ht="105" x14ac:dyDescent="0.25">
      <c r="A35" s="32" t="str">
        <f>HYPERLINK("http://www.medicine.uiowa.edu/md/requirements/","University of Iowa, College of Medicine")</f>
        <v>University of Iowa, College of Medicine</v>
      </c>
      <c r="B35" s="33" t="s">
        <v>185</v>
      </c>
      <c r="C35" s="34" t="s">
        <v>942</v>
      </c>
      <c r="D35" s="34" t="s">
        <v>942</v>
      </c>
      <c r="E35" s="34" t="s">
        <v>44</v>
      </c>
      <c r="F35" s="35" t="s">
        <v>44</v>
      </c>
      <c r="G35" s="34" t="s">
        <v>44</v>
      </c>
      <c r="H35" s="37" t="s">
        <v>44</v>
      </c>
      <c r="I35" s="35" t="s">
        <v>1024</v>
      </c>
      <c r="J35" s="35" t="s">
        <v>1025</v>
      </c>
      <c r="K35" s="35" t="s">
        <v>1026</v>
      </c>
    </row>
    <row r="36" spans="1:11" s="29" customFormat="1" ht="75" x14ac:dyDescent="0.25">
      <c r="A36" s="28" t="str">
        <f>HYPERLINK("http://www.stritch.luc.edu/admission","Loyola University, Chicago Stritch School of Medicine")</f>
        <v>Loyola University, Chicago Stritch School of Medicine</v>
      </c>
      <c r="B36" s="29" t="s">
        <v>191</v>
      </c>
      <c r="C36" s="30" t="s">
        <v>44</v>
      </c>
      <c r="D36" s="30" t="s">
        <v>1027</v>
      </c>
      <c r="E36" s="30" t="s">
        <v>44</v>
      </c>
      <c r="F36" s="25" t="s">
        <v>28</v>
      </c>
      <c r="G36" s="30" t="s">
        <v>44</v>
      </c>
      <c r="H36" s="26" t="s">
        <v>28</v>
      </c>
      <c r="I36" s="25" t="s">
        <v>28</v>
      </c>
      <c r="J36" s="26" t="s">
        <v>28</v>
      </c>
      <c r="K36" s="26"/>
    </row>
    <row r="37" spans="1:11" s="33" customFormat="1" x14ac:dyDescent="0.25">
      <c r="A37" s="32" t="str">
        <f>HYPERLINK("http://www.feinberg.northwestern.edu/admissions/process/requirements/","Northwestern University Medical School")</f>
        <v>Northwestern University Medical School</v>
      </c>
      <c r="B37" s="33" t="s">
        <v>191</v>
      </c>
      <c r="C37" s="34" t="s">
        <v>44</v>
      </c>
      <c r="D37" s="34" t="s">
        <v>44</v>
      </c>
      <c r="E37" s="34" t="s">
        <v>44</v>
      </c>
      <c r="F37" s="37" t="s">
        <v>28</v>
      </c>
      <c r="G37" s="34" t="s">
        <v>44</v>
      </c>
      <c r="H37" s="37" t="s">
        <v>28</v>
      </c>
      <c r="I37" s="35" t="s">
        <v>28</v>
      </c>
      <c r="J37" s="35" t="s">
        <v>28</v>
      </c>
      <c r="K37" s="37"/>
    </row>
    <row r="38" spans="1:11" s="29" customFormat="1" ht="30" x14ac:dyDescent="0.25">
      <c r="A38" s="24" t="str">
        <f>HYPERLINK("http://www.rosalindfranklin.edu/Degreeprograms/AllopathicMedicine/appNeeds.aspx","Rosalind Franklin University of Medicine and Science, Chicago Medical School")</f>
        <v>Rosalind Franklin University of Medicine and Science, Chicago Medical School</v>
      </c>
      <c r="B38" s="29" t="s">
        <v>191</v>
      </c>
      <c r="C38" s="30" t="s">
        <v>44</v>
      </c>
      <c r="D38" s="30" t="s">
        <v>947</v>
      </c>
      <c r="E38" s="30" t="s">
        <v>44</v>
      </c>
      <c r="F38" s="25" t="s">
        <v>44</v>
      </c>
      <c r="G38" s="30" t="s">
        <v>44</v>
      </c>
      <c r="H38" s="25" t="s">
        <v>28</v>
      </c>
      <c r="I38" s="25" t="s">
        <v>28</v>
      </c>
      <c r="J38" s="25" t="s">
        <v>28</v>
      </c>
      <c r="K38" s="26"/>
    </row>
    <row r="39" spans="1:11" s="33" customFormat="1" ht="45" customHeight="1" x14ac:dyDescent="0.25">
      <c r="A39" s="38" t="str">
        <f>HYPERLINK("http://www.rushu.rush.edu/servlet/Satellite?MetaAttrName=meta_university&amp;ParentId=1144343940257&amp;ParentType=RushUnivLevel2Page&amp;c=content_block&amp;cid=1191597747056&amp;level1-p=2&amp;level1-pp=1142960797000&amp;level1-ppp=1142960797000&amp;pagename=Rush%2Fcontent_block%2FCon","Rush Medical College of Rush University Medical Center")</f>
        <v>Rush Medical College of Rush University Medical Center</v>
      </c>
      <c r="B39" s="33" t="s">
        <v>191</v>
      </c>
      <c r="C39" s="34" t="s">
        <v>28</v>
      </c>
      <c r="D39" s="34" t="s">
        <v>28</v>
      </c>
      <c r="E39" s="34" t="s">
        <v>28</v>
      </c>
      <c r="F39" s="35" t="s">
        <v>28</v>
      </c>
      <c r="G39" s="35" t="s">
        <v>28</v>
      </c>
      <c r="H39" s="37" t="s">
        <v>28</v>
      </c>
      <c r="I39" s="35" t="s">
        <v>28</v>
      </c>
      <c r="J39" s="37" t="s">
        <v>28</v>
      </c>
      <c r="K39" s="35" t="s">
        <v>984</v>
      </c>
    </row>
    <row r="40" spans="1:11" s="29" customFormat="1" ht="44.25" customHeight="1" x14ac:dyDescent="0.25">
      <c r="A40" s="28" t="str">
        <f>HYPERLINK("http://www.siumed.edu/studentaffairs/admissions/requirements.html","Southern Illinois University, School of Medicine")</f>
        <v>Southern Illinois University, School of Medicine</v>
      </c>
      <c r="B40" s="29" t="s">
        <v>191</v>
      </c>
      <c r="C40" s="30" t="s">
        <v>28</v>
      </c>
      <c r="D40" s="30" t="s">
        <v>28</v>
      </c>
      <c r="E40" s="30" t="s">
        <v>28</v>
      </c>
      <c r="F40" s="26" t="s">
        <v>28</v>
      </c>
      <c r="G40" s="30" t="s">
        <v>28</v>
      </c>
      <c r="H40" s="25" t="s">
        <v>28</v>
      </c>
      <c r="I40" s="25" t="s">
        <v>28</v>
      </c>
      <c r="J40" s="26" t="s">
        <v>28</v>
      </c>
      <c r="K40" s="25" t="s">
        <v>984</v>
      </c>
    </row>
    <row r="41" spans="1:11" s="33" customFormat="1" ht="60.75" customHeight="1" x14ac:dyDescent="0.25">
      <c r="A41" s="38" t="str">
        <f>HYPERLINK("http://pritzker.uchicago.edu/admissions/requirements/","University of Chicago, Division of the Biological Sciences, The Pritzker School of Medicine")</f>
        <v>University of Chicago, Division of the Biological Sciences, The Pritzker School of Medicine</v>
      </c>
      <c r="B41" s="33" t="s">
        <v>191</v>
      </c>
      <c r="C41" s="34" t="s">
        <v>28</v>
      </c>
      <c r="D41" s="34" t="s">
        <v>28</v>
      </c>
      <c r="E41" s="34" t="s">
        <v>28</v>
      </c>
      <c r="F41" s="37" t="s">
        <v>28</v>
      </c>
      <c r="G41" s="34" t="s">
        <v>28</v>
      </c>
      <c r="H41" s="37" t="s">
        <v>28</v>
      </c>
      <c r="I41" s="35" t="s">
        <v>28</v>
      </c>
      <c r="J41" s="35" t="s">
        <v>28</v>
      </c>
      <c r="K41" s="35" t="s">
        <v>985</v>
      </c>
    </row>
    <row r="42" spans="1:11" s="29" customFormat="1" ht="88.5" customHeight="1" x14ac:dyDescent="0.25">
      <c r="A42" s="24" t="str">
        <f>HYPERLINK("http://medicine.uic.edu/cms/One.aspx?portalId=443021&amp;pageId=19888504","University of Illinois at Chicago, College of Medicine")</f>
        <v>University of Illinois at Chicago, College of Medicine</v>
      </c>
      <c r="B42" s="29" t="s">
        <v>191</v>
      </c>
      <c r="C42" s="30" t="s">
        <v>44</v>
      </c>
      <c r="D42" s="30" t="s">
        <v>1028</v>
      </c>
      <c r="E42" s="30" t="s">
        <v>44</v>
      </c>
      <c r="F42" s="26" t="s">
        <v>28</v>
      </c>
      <c r="G42" s="30" t="s">
        <v>44</v>
      </c>
      <c r="H42" s="26" t="s">
        <v>28</v>
      </c>
      <c r="I42" s="25" t="s">
        <v>28</v>
      </c>
      <c r="J42" s="25" t="s">
        <v>1029</v>
      </c>
      <c r="K42" s="26"/>
    </row>
    <row r="43" spans="1:11" s="33" customFormat="1" ht="45" x14ac:dyDescent="0.25">
      <c r="A43" s="32" t="str">
        <f>HYPERLINK("http://admissions.medicine.iu.edu/applying-to-the-iu-school-of-medicine/","Indiana University School of Medicine")</f>
        <v>Indiana University School of Medicine</v>
      </c>
      <c r="B43" s="33" t="s">
        <v>218</v>
      </c>
      <c r="C43" s="34" t="s">
        <v>44</v>
      </c>
      <c r="D43" s="34" t="s">
        <v>44</v>
      </c>
      <c r="E43" s="34" t="s">
        <v>44</v>
      </c>
      <c r="F43" s="37" t="s">
        <v>44</v>
      </c>
      <c r="G43" s="34" t="s">
        <v>44</v>
      </c>
      <c r="H43" s="35" t="s">
        <v>28</v>
      </c>
      <c r="I43" s="35" t="s">
        <v>28</v>
      </c>
      <c r="J43" s="35" t="s">
        <v>1030</v>
      </c>
      <c r="K43" s="37"/>
    </row>
    <row r="44" spans="1:11" s="29" customFormat="1" ht="60" x14ac:dyDescent="0.25">
      <c r="A44" s="28" t="str">
        <f>HYPERLINK("http://www.kumc.edu/school-of-medicine/education/admissions/premedical-requirements.html","University of Kansas School of Medicine")</f>
        <v>University of Kansas School of Medicine</v>
      </c>
      <c r="B44" s="29" t="s">
        <v>223</v>
      </c>
      <c r="C44" s="30" t="s">
        <v>44</v>
      </c>
      <c r="D44" s="30" t="s">
        <v>1028</v>
      </c>
      <c r="E44" s="30" t="s">
        <v>1006</v>
      </c>
      <c r="F44" s="26" t="s">
        <v>28</v>
      </c>
      <c r="G44" s="30" t="s">
        <v>44</v>
      </c>
      <c r="H44" s="25" t="s">
        <v>44</v>
      </c>
      <c r="I44" s="25" t="s">
        <v>948</v>
      </c>
      <c r="J44" s="25" t="s">
        <v>28</v>
      </c>
      <c r="K44" s="26"/>
    </row>
    <row r="45" spans="1:11" s="33" customFormat="1" ht="60.75" customHeight="1" x14ac:dyDescent="0.25">
      <c r="A45" s="32" t="str">
        <f>HYPERLINK("http://meded.med.uky.edu/meded-admissions-prerequisites","University of Kentucky, College of Medicine")</f>
        <v>University of Kentucky, College of Medicine</v>
      </c>
      <c r="B45" s="33" t="s">
        <v>229</v>
      </c>
      <c r="C45" s="34" t="s">
        <v>44</v>
      </c>
      <c r="D45" s="34" t="s">
        <v>44</v>
      </c>
      <c r="E45" s="34" t="s">
        <v>44</v>
      </c>
      <c r="F45" s="35" t="s">
        <v>44</v>
      </c>
      <c r="G45" s="34" t="s">
        <v>44</v>
      </c>
      <c r="H45" s="35" t="s">
        <v>28</v>
      </c>
      <c r="I45" s="35" t="s">
        <v>949</v>
      </c>
      <c r="J45" s="35" t="s">
        <v>28</v>
      </c>
      <c r="K45" s="37"/>
    </row>
    <row r="46" spans="1:11" s="29" customFormat="1" ht="60" x14ac:dyDescent="0.25">
      <c r="A46" s="28" t="str">
        <f>HYPERLINK("http://louisville.edu/medicine/admissions/app-process/complete-prerequisites","University of Louisville School of Medicine")</f>
        <v>University of Louisville School of Medicine</v>
      </c>
      <c r="B46" s="29" t="s">
        <v>229</v>
      </c>
      <c r="C46" s="30" t="s">
        <v>44</v>
      </c>
      <c r="D46" s="30" t="s">
        <v>44</v>
      </c>
      <c r="E46" s="30" t="s">
        <v>1031</v>
      </c>
      <c r="F46" s="26" t="s">
        <v>28</v>
      </c>
      <c r="G46" s="30" t="s">
        <v>44</v>
      </c>
      <c r="H46" s="26" t="s">
        <v>950</v>
      </c>
      <c r="I46" s="25" t="s">
        <v>951</v>
      </c>
      <c r="J46" s="25" t="s">
        <v>28</v>
      </c>
      <c r="K46" s="26"/>
    </row>
    <row r="47" spans="1:11" s="33" customFormat="1" ht="75" x14ac:dyDescent="0.25">
      <c r="A47" s="38" t="str">
        <f>HYPERLINK("http://www.lsuhscshreveport.edu/Admissions/Requirements.aspx#requirements","Louisiana State University Health Sciences Center, School of Medicine in Shreveport")</f>
        <v>Louisiana State University Health Sciences Center, School of Medicine in Shreveport</v>
      </c>
      <c r="B47" s="33" t="s">
        <v>239</v>
      </c>
      <c r="C47" s="34" t="s">
        <v>942</v>
      </c>
      <c r="D47" s="34" t="s">
        <v>942</v>
      </c>
      <c r="E47" s="34" t="s">
        <v>1006</v>
      </c>
      <c r="F47" s="35" t="s">
        <v>44</v>
      </c>
      <c r="G47" s="35" t="s">
        <v>28</v>
      </c>
      <c r="H47" s="35" t="s">
        <v>28</v>
      </c>
      <c r="I47" s="35" t="s">
        <v>910</v>
      </c>
      <c r="J47" s="35" t="s">
        <v>1032</v>
      </c>
      <c r="K47" s="35" t="s">
        <v>1033</v>
      </c>
    </row>
    <row r="48" spans="1:11" s="29" customFormat="1" ht="30" x14ac:dyDescent="0.25">
      <c r="A48" s="28" t="str">
        <f>HYPERLINK("http://www.medschool.lsuhsc.edu/admissions/Requirements.aspx","Lousiana State University School of Medicine in New Orleans")</f>
        <v>Lousiana State University School of Medicine in New Orleans</v>
      </c>
      <c r="B48" s="29" t="s">
        <v>239</v>
      </c>
      <c r="C48" s="30" t="s">
        <v>44</v>
      </c>
      <c r="D48" s="30" t="s">
        <v>44</v>
      </c>
      <c r="E48" s="30" t="s">
        <v>44</v>
      </c>
      <c r="F48" s="26" t="s">
        <v>44</v>
      </c>
      <c r="G48" s="30" t="s">
        <v>44</v>
      </c>
      <c r="H48" s="25" t="s">
        <v>1005</v>
      </c>
      <c r="I48" s="25" t="s">
        <v>910</v>
      </c>
      <c r="J48" s="26" t="s">
        <v>28</v>
      </c>
      <c r="K48" s="26"/>
    </row>
    <row r="49" spans="1:11" s="33" customFormat="1" ht="42" customHeight="1" x14ac:dyDescent="0.25">
      <c r="A49" s="32" t="str">
        <f>HYPERLINK("http://tulane.edu/som/admissions/apply/selection-factors.cfm","Tulane University School of Medicine")</f>
        <v>Tulane University School of Medicine</v>
      </c>
      <c r="B49" s="33" t="s">
        <v>239</v>
      </c>
      <c r="C49" s="34" t="s">
        <v>28</v>
      </c>
      <c r="D49" s="34" t="s">
        <v>28</v>
      </c>
      <c r="E49" s="34" t="s">
        <v>28</v>
      </c>
      <c r="F49" s="35" t="s">
        <v>28</v>
      </c>
      <c r="G49" s="35" t="s">
        <v>28</v>
      </c>
      <c r="H49" s="35" t="s">
        <v>28</v>
      </c>
      <c r="I49" s="35" t="s">
        <v>28</v>
      </c>
      <c r="J49" s="35" t="s">
        <v>28</v>
      </c>
      <c r="K49" s="35" t="s">
        <v>986</v>
      </c>
    </row>
    <row r="50" spans="1:11" s="29" customFormat="1" ht="120" customHeight="1" x14ac:dyDescent="0.25">
      <c r="A50" s="28" t="str">
        <f>HYPERLINK("http://www.bumc.bu.edu/admissions/applicationprocess/requirements/","Boston University School of Medicine")</f>
        <v>Boston University School of Medicine</v>
      </c>
      <c r="B50" s="29" t="s">
        <v>251</v>
      </c>
      <c r="C50" s="30" t="s">
        <v>942</v>
      </c>
      <c r="D50" s="30" t="s">
        <v>942</v>
      </c>
      <c r="E50" s="30" t="s">
        <v>44</v>
      </c>
      <c r="F50" s="26" t="s">
        <v>44</v>
      </c>
      <c r="G50" s="25" t="s">
        <v>1006</v>
      </c>
      <c r="H50" s="26" t="s">
        <v>28</v>
      </c>
      <c r="I50" s="25" t="s">
        <v>935</v>
      </c>
      <c r="J50" s="25" t="s">
        <v>943</v>
      </c>
      <c r="K50" s="25" t="s">
        <v>1034</v>
      </c>
    </row>
    <row r="51" spans="1:11" s="33" customFormat="1" ht="60" x14ac:dyDescent="0.25">
      <c r="A51" s="38" t="str">
        <f>HYPERLINK("http://hms.harvard.edu/content/requirements-admission","Harvard Medical School")</f>
        <v>Harvard Medical School</v>
      </c>
      <c r="B51" s="33" t="s">
        <v>251</v>
      </c>
      <c r="C51" s="34" t="s">
        <v>44</v>
      </c>
      <c r="D51" s="34" t="s">
        <v>44</v>
      </c>
      <c r="E51" s="34" t="s">
        <v>1006</v>
      </c>
      <c r="F51" s="37" t="s">
        <v>44</v>
      </c>
      <c r="G51" s="34" t="s">
        <v>44</v>
      </c>
      <c r="H51" s="37" t="s">
        <v>1035</v>
      </c>
      <c r="I51" s="35" t="s">
        <v>932</v>
      </c>
      <c r="J51" s="35" t="s">
        <v>28</v>
      </c>
      <c r="K51" s="35" t="s">
        <v>1036</v>
      </c>
    </row>
    <row r="52" spans="1:11" s="29" customFormat="1" ht="165" x14ac:dyDescent="0.25">
      <c r="A52" s="24" t="str">
        <f>HYPERLINK("http://md.tufts.edu/Admissions/MD-Application-Process/Course-Prerequisites","Tufts University School of Medicine")</f>
        <v>Tufts University School of Medicine</v>
      </c>
      <c r="B52" s="29" t="s">
        <v>251</v>
      </c>
      <c r="C52" s="30" t="s">
        <v>952</v>
      </c>
      <c r="D52" s="30" t="s">
        <v>952</v>
      </c>
      <c r="E52" s="30" t="s">
        <v>1006</v>
      </c>
      <c r="F52" s="26" t="s">
        <v>28</v>
      </c>
      <c r="G52" s="25" t="s">
        <v>936</v>
      </c>
      <c r="H52" s="26" t="s">
        <v>28</v>
      </c>
      <c r="I52" s="25" t="s">
        <v>28</v>
      </c>
      <c r="J52" s="26" t="s">
        <v>28</v>
      </c>
      <c r="K52" s="26" t="s">
        <v>1037</v>
      </c>
    </row>
    <row r="53" spans="1:11" s="33" customFormat="1" ht="30" x14ac:dyDescent="0.25">
      <c r="A53" s="38" t="str">
        <f>HYPERLINK("http://www.umassmed.edu/som/admissions/reqs.aspx?linkidentifier=id&amp;itemid=95706","University of Massachusetts Medical School")</f>
        <v>University of Massachusetts Medical School</v>
      </c>
      <c r="B53" s="33" t="s">
        <v>251</v>
      </c>
      <c r="C53" s="34" t="s">
        <v>44</v>
      </c>
      <c r="D53" s="34" t="s">
        <v>44</v>
      </c>
      <c r="E53" s="34" t="s">
        <v>44</v>
      </c>
      <c r="F53" s="37" t="s">
        <v>28</v>
      </c>
      <c r="G53" s="34" t="s">
        <v>44</v>
      </c>
      <c r="H53" s="37" t="s">
        <v>28</v>
      </c>
      <c r="I53" s="35" t="s">
        <v>960</v>
      </c>
      <c r="J53" s="35" t="s">
        <v>28</v>
      </c>
      <c r="K53" s="37"/>
    </row>
    <row r="54" spans="1:11" s="29" customFormat="1" ht="77.25" customHeight="1" x14ac:dyDescent="0.25">
      <c r="A54" s="28" t="str">
        <f>HYPERLINK("http://www.hopkinsmedicine.org/som/admissions/md/process/requirements.html","Johns Hopkins University School of Medicine")</f>
        <v>Johns Hopkins University School of Medicine</v>
      </c>
      <c r="B54" s="29" t="s">
        <v>272</v>
      </c>
      <c r="C54" s="30" t="s">
        <v>44</v>
      </c>
      <c r="D54" s="30" t="s">
        <v>940</v>
      </c>
      <c r="E54" s="30" t="s">
        <v>44</v>
      </c>
      <c r="F54" s="26" t="s">
        <v>44</v>
      </c>
      <c r="G54" s="30" t="s">
        <v>44</v>
      </c>
      <c r="H54" s="25" t="s">
        <v>1038</v>
      </c>
      <c r="I54" s="25" t="s">
        <v>921</v>
      </c>
      <c r="J54" s="25" t="s">
        <v>1039</v>
      </c>
      <c r="K54" s="26"/>
    </row>
    <row r="55" spans="1:11" s="33" customFormat="1" ht="78" customHeight="1" x14ac:dyDescent="0.25">
      <c r="A55" s="32" t="str">
        <f>HYPERLINK("http://www.usuhs.edu/medschool/pdf/WhatYouNeedtoKnow.pdf","Uniformed Services University of the Health Sciences, F. Edward Hebert School of Medicine")</f>
        <v>Uniformed Services University of the Health Sciences, F. Edward Hebert School of Medicine</v>
      </c>
      <c r="B55" s="33" t="s">
        <v>272</v>
      </c>
      <c r="C55" s="34" t="s">
        <v>44</v>
      </c>
      <c r="D55" s="34" t="s">
        <v>1040</v>
      </c>
      <c r="E55" s="34" t="s">
        <v>44</v>
      </c>
      <c r="F55" s="37" t="s">
        <v>28</v>
      </c>
      <c r="G55" s="34" t="s">
        <v>44</v>
      </c>
      <c r="H55" s="35" t="s">
        <v>1041</v>
      </c>
      <c r="I55" s="35" t="s">
        <v>953</v>
      </c>
      <c r="J55" s="37" t="s">
        <v>28</v>
      </c>
      <c r="K55" s="37"/>
    </row>
    <row r="56" spans="1:11" s="29" customFormat="1" ht="90" x14ac:dyDescent="0.25">
      <c r="A56" s="28" t="str">
        <f>HYPERLINK("http://medschool.umaryland.edu/admissions/appreq.asp","University of Maryland, School of Medicine")</f>
        <v>University of Maryland, School of Medicine</v>
      </c>
      <c r="B56" s="29" t="s">
        <v>272</v>
      </c>
      <c r="C56" s="30" t="s">
        <v>44</v>
      </c>
      <c r="D56" s="30" t="s">
        <v>1019</v>
      </c>
      <c r="E56" s="30" t="s">
        <v>44</v>
      </c>
      <c r="F56" s="26" t="s">
        <v>28</v>
      </c>
      <c r="G56" s="30" t="s">
        <v>44</v>
      </c>
      <c r="H56" s="26" t="s">
        <v>28</v>
      </c>
      <c r="I56" s="25" t="s">
        <v>1042</v>
      </c>
      <c r="J56" s="25" t="s">
        <v>28</v>
      </c>
      <c r="K56" s="26"/>
    </row>
    <row r="57" spans="1:11" s="33" customFormat="1" ht="75" x14ac:dyDescent="0.25">
      <c r="A57" s="38" t="str">
        <f>HYPERLINK("https://www.cmich.edu/colleges/cmed/students/Pages/Admissions%20Requirements.aspx","Central Michigan University College of Medicine NEW (Preliminary accreditation)")</f>
        <v>Central Michigan University College of Medicine NEW (Preliminary accreditation)</v>
      </c>
      <c r="B57" s="33" t="s">
        <v>288</v>
      </c>
      <c r="C57" s="34" t="s">
        <v>28</v>
      </c>
      <c r="D57" s="34" t="s">
        <v>1019</v>
      </c>
      <c r="E57" s="34" t="s">
        <v>44</v>
      </c>
      <c r="F57" s="37" t="s">
        <v>28</v>
      </c>
      <c r="G57" s="35" t="s">
        <v>28</v>
      </c>
      <c r="H57" s="37" t="s">
        <v>28</v>
      </c>
      <c r="I57" s="35" t="s">
        <v>28</v>
      </c>
      <c r="J57" s="35" t="s">
        <v>28</v>
      </c>
      <c r="K57" s="37" t="s">
        <v>987</v>
      </c>
    </row>
    <row r="58" spans="1:11" s="29" customFormat="1" ht="75" x14ac:dyDescent="0.25">
      <c r="A58" s="24" t="str">
        <f>HYPERLINK("http://mdadmissions.msu.edu/premedReqs/premed_reqs.php","Michigan State University College of Human Medicine")</f>
        <v>Michigan State University College of Human Medicine</v>
      </c>
      <c r="B58" s="29" t="s">
        <v>288</v>
      </c>
      <c r="C58" s="30" t="s">
        <v>971</v>
      </c>
      <c r="D58" s="30" t="s">
        <v>972</v>
      </c>
      <c r="E58" s="30" t="s">
        <v>972</v>
      </c>
      <c r="F58" s="26" t="s">
        <v>28</v>
      </c>
      <c r="G58" s="25" t="s">
        <v>28</v>
      </c>
      <c r="H58" s="25" t="s">
        <v>988</v>
      </c>
      <c r="I58" s="25" t="s">
        <v>970</v>
      </c>
      <c r="J58" s="25" t="s">
        <v>1043</v>
      </c>
      <c r="K58" s="26" t="s">
        <v>989</v>
      </c>
    </row>
    <row r="59" spans="1:11" s="33" customFormat="1" ht="60" x14ac:dyDescent="0.25">
      <c r="A59" s="32" t="str">
        <f>HYPERLINK("http://www.oakland.edu/medicine/admissions/requirements","Oakland University William Beaumont School of Medicine")</f>
        <v>Oakland University William Beaumont School of Medicine</v>
      </c>
      <c r="B59" s="33" t="s">
        <v>288</v>
      </c>
      <c r="C59" s="34" t="s">
        <v>44</v>
      </c>
      <c r="D59" s="34" t="s">
        <v>940</v>
      </c>
      <c r="E59" s="34" t="s">
        <v>44</v>
      </c>
      <c r="F59" s="37" t="s">
        <v>28</v>
      </c>
      <c r="G59" s="34" t="s">
        <v>44</v>
      </c>
      <c r="H59" s="35" t="s">
        <v>908</v>
      </c>
      <c r="I59" s="35" t="s">
        <v>28</v>
      </c>
      <c r="J59" s="35" t="s">
        <v>28</v>
      </c>
      <c r="K59" s="37" t="s">
        <v>990</v>
      </c>
    </row>
    <row r="60" spans="1:11" s="29" customFormat="1" ht="61.5" customHeight="1" x14ac:dyDescent="0.25">
      <c r="A60" s="28" t="str">
        <f>HYPERLINK("http://med.umich.edu/medschool/admissions/apply/requirements.html","University of Michigan Medical School")</f>
        <v>University of Michigan Medical School</v>
      </c>
      <c r="B60" s="29" t="s">
        <v>288</v>
      </c>
      <c r="C60" s="30" t="s">
        <v>28</v>
      </c>
      <c r="D60" s="30" t="s">
        <v>28</v>
      </c>
      <c r="E60" s="30" t="s">
        <v>28</v>
      </c>
      <c r="F60" s="25" t="s">
        <v>28</v>
      </c>
      <c r="G60" s="25" t="s">
        <v>28</v>
      </c>
      <c r="H60" s="26" t="s">
        <v>28</v>
      </c>
      <c r="I60" s="25" t="s">
        <v>28</v>
      </c>
      <c r="J60" s="25" t="s">
        <v>28</v>
      </c>
      <c r="K60" s="25" t="s">
        <v>985</v>
      </c>
    </row>
    <row r="61" spans="1:11" s="33" customFormat="1" ht="30" x14ac:dyDescent="0.25">
      <c r="A61" s="32" t="str">
        <f>HYPERLINK("http://admissions.med.wayne.edu/requirements.php","Wayne State University School of Medicine")</f>
        <v>Wayne State University School of Medicine</v>
      </c>
      <c r="B61" s="33" t="s">
        <v>288</v>
      </c>
      <c r="C61" s="34" t="s">
        <v>44</v>
      </c>
      <c r="D61" s="34" t="s">
        <v>44</v>
      </c>
      <c r="E61" s="34" t="s">
        <v>44</v>
      </c>
      <c r="F61" s="35" t="s">
        <v>28</v>
      </c>
      <c r="G61" s="34" t="s">
        <v>44</v>
      </c>
      <c r="H61" s="35" t="s">
        <v>28</v>
      </c>
      <c r="I61" s="37" t="s">
        <v>960</v>
      </c>
      <c r="J61" s="35" t="s">
        <v>28</v>
      </c>
      <c r="K61" s="37"/>
    </row>
    <row r="62" spans="1:11" s="29" customFormat="1" ht="48.75" customHeight="1" x14ac:dyDescent="0.25">
      <c r="A62" s="24" t="str">
        <f>HYPERLINK("http://med.wmich.edu/education/students/future-students/admission-requirements","Western Michigan University School of Medicine")</f>
        <v>Western Michigan University School of Medicine</v>
      </c>
      <c r="B62" s="29" t="s">
        <v>288</v>
      </c>
      <c r="C62" s="30" t="s">
        <v>28</v>
      </c>
      <c r="D62" s="30" t="s">
        <v>28</v>
      </c>
      <c r="E62" s="30" t="s">
        <v>28</v>
      </c>
      <c r="F62" s="26" t="s">
        <v>28</v>
      </c>
      <c r="G62" s="30" t="s">
        <v>28</v>
      </c>
      <c r="H62" s="26" t="s">
        <v>28</v>
      </c>
      <c r="I62" s="25" t="s">
        <v>28</v>
      </c>
      <c r="J62" s="26" t="s">
        <v>28</v>
      </c>
      <c r="K62" s="26" t="s">
        <v>984</v>
      </c>
    </row>
    <row r="63" spans="1:11" s="33" customFormat="1" x14ac:dyDescent="0.25">
      <c r="A63" s="32" t="str">
        <f>HYPERLINK("http://www.mayo.edu/mms/programs/md/admissions-and-application-process/prerequisites","Mayo Medical School")</f>
        <v>Mayo Medical School</v>
      </c>
      <c r="B63" s="33" t="s">
        <v>310</v>
      </c>
      <c r="C63" s="34" t="s">
        <v>44</v>
      </c>
      <c r="D63" s="34" t="s">
        <v>44</v>
      </c>
      <c r="E63" s="34" t="s">
        <v>44</v>
      </c>
      <c r="F63" s="37" t="s">
        <v>44</v>
      </c>
      <c r="G63" s="34" t="s">
        <v>44</v>
      </c>
      <c r="H63" s="37" t="s">
        <v>28</v>
      </c>
      <c r="I63" s="35" t="s">
        <v>28</v>
      </c>
      <c r="J63" s="37" t="s">
        <v>28</v>
      </c>
      <c r="K63" s="37"/>
    </row>
    <row r="64" spans="1:11" s="29" customFormat="1" ht="224.25" customHeight="1" x14ac:dyDescent="0.25">
      <c r="A64" s="28" t="str">
        <f>HYPERLINK("http://www.med.umn.edu/medical-school-students/medical-school-admissions/prerequisites/index.htm","University of Minnesota Medical School-Twin Cities")</f>
        <v>University of Minnesota Medical School-Twin Cities</v>
      </c>
      <c r="B64" s="29" t="s">
        <v>310</v>
      </c>
      <c r="C64" s="30" t="s">
        <v>954</v>
      </c>
      <c r="D64" s="30" t="s">
        <v>955</v>
      </c>
      <c r="E64" s="30" t="s">
        <v>947</v>
      </c>
      <c r="F64" s="26" t="s">
        <v>28</v>
      </c>
      <c r="G64" s="25" t="s">
        <v>28</v>
      </c>
      <c r="H64" s="26" t="s">
        <v>28</v>
      </c>
      <c r="I64" s="25" t="s">
        <v>28</v>
      </c>
      <c r="J64" s="25" t="s">
        <v>1044</v>
      </c>
      <c r="K64" s="25"/>
    </row>
    <row r="65" spans="1:11" s="33" customFormat="1" ht="60" x14ac:dyDescent="0.25">
      <c r="A65" s="32" t="str">
        <f>HYPERLINK("http://www.slu.edu/medicine/admissions/how-to-apply","Saint Louis University School of Medicine")</f>
        <v>Saint Louis University School of Medicine</v>
      </c>
      <c r="B65" s="33" t="s">
        <v>317</v>
      </c>
      <c r="C65" s="34" t="s">
        <v>44</v>
      </c>
      <c r="D65" s="34" t="s">
        <v>1028</v>
      </c>
      <c r="E65" s="34" t="s">
        <v>44</v>
      </c>
      <c r="F65" s="35" t="s">
        <v>28</v>
      </c>
      <c r="G65" s="34" t="s">
        <v>44</v>
      </c>
      <c r="H65" s="37" t="s">
        <v>28</v>
      </c>
      <c r="I65" s="35" t="s">
        <v>910</v>
      </c>
      <c r="J65" s="35" t="s">
        <v>1045</v>
      </c>
      <c r="K65" s="37"/>
    </row>
    <row r="66" spans="1:11" s="29" customFormat="1" ht="45" x14ac:dyDescent="0.25">
      <c r="A66" s="28" t="str">
        <f>HYPERLINK("http://medicine.missouri.edu/admissions/regular.html","University of Missouri-Columbia School of Medicine")</f>
        <v>University of Missouri-Columbia School of Medicine</v>
      </c>
      <c r="B66" s="29" t="s">
        <v>317</v>
      </c>
      <c r="C66" s="30" t="s">
        <v>44</v>
      </c>
      <c r="D66" s="30" t="s">
        <v>44</v>
      </c>
      <c r="E66" s="30" t="s">
        <v>44</v>
      </c>
      <c r="F66" s="25" t="s">
        <v>28</v>
      </c>
      <c r="G66" s="30" t="s">
        <v>44</v>
      </c>
      <c r="H66" s="25" t="s">
        <v>44</v>
      </c>
      <c r="I66" s="26" t="s">
        <v>948</v>
      </c>
      <c r="J66" s="25" t="s">
        <v>28</v>
      </c>
      <c r="K66" s="26"/>
    </row>
    <row r="67" spans="1:11" s="33" customFormat="1" ht="30" x14ac:dyDescent="0.25">
      <c r="A67" s="32" t="str">
        <f>HYPERLINK("http://med.umkc.edu/md/requirements/","University of Missouri-Kansas City School of Medicine")</f>
        <v>University of Missouri-Kansas City School of Medicine</v>
      </c>
      <c r="B67" s="33" t="s">
        <v>317</v>
      </c>
      <c r="C67" s="34" t="s">
        <v>28</v>
      </c>
      <c r="D67" s="34" t="s">
        <v>28</v>
      </c>
      <c r="E67" s="34" t="s">
        <v>28</v>
      </c>
      <c r="F67" s="37" t="s">
        <v>44</v>
      </c>
      <c r="G67" s="34" t="s">
        <v>28</v>
      </c>
      <c r="H67" s="35" t="s">
        <v>28</v>
      </c>
      <c r="I67" s="35" t="s">
        <v>28</v>
      </c>
      <c r="J67" s="35" t="s">
        <v>1046</v>
      </c>
      <c r="K67" s="37"/>
    </row>
    <row r="68" spans="1:11" s="29" customFormat="1" ht="90" x14ac:dyDescent="0.25">
      <c r="A68" s="24" t="str">
        <f>HYPERLINK("http://medadmissions.wustl.edu/HowtoApply/ApplicationProcess/Pages/Requirements.aspx","Washington University School of Medicine")</f>
        <v>Washington University School of Medicine</v>
      </c>
      <c r="B68" s="29" t="s">
        <v>317</v>
      </c>
      <c r="C68" s="30" t="s">
        <v>1006</v>
      </c>
      <c r="D68" s="30" t="s">
        <v>1028</v>
      </c>
      <c r="E68" s="30" t="s">
        <v>1006</v>
      </c>
      <c r="F68" s="25" t="s">
        <v>28</v>
      </c>
      <c r="G68" s="25" t="s">
        <v>1006</v>
      </c>
      <c r="H68" s="25" t="s">
        <v>1047</v>
      </c>
      <c r="I68" s="25" t="s">
        <v>28</v>
      </c>
      <c r="J68" s="26" t="s">
        <v>28</v>
      </c>
      <c r="K68" s="26"/>
    </row>
    <row r="69" spans="1:11" s="33" customFormat="1" ht="77.25" customHeight="1" x14ac:dyDescent="0.25">
      <c r="A69" s="32" t="str">
        <f>HYPERLINK("http://www.umc.edu/Education/Schools/Medicine/SOM_Admissions/Admissions_Criteria.aspx","University of Mississippi School of Medicine")</f>
        <v>University of Mississippi School of Medicine</v>
      </c>
      <c r="B69" s="33" t="s">
        <v>334</v>
      </c>
      <c r="C69" s="34" t="s">
        <v>44</v>
      </c>
      <c r="D69" s="34" t="s">
        <v>44</v>
      </c>
      <c r="E69" s="34" t="s">
        <v>44</v>
      </c>
      <c r="F69" s="35" t="s">
        <v>28</v>
      </c>
      <c r="G69" s="34" t="s">
        <v>44</v>
      </c>
      <c r="H69" s="35" t="s">
        <v>1048</v>
      </c>
      <c r="I69" s="35" t="s">
        <v>931</v>
      </c>
      <c r="J69" s="35" t="s">
        <v>991</v>
      </c>
      <c r="K69" s="37"/>
    </row>
    <row r="70" spans="1:11" s="29" customFormat="1" ht="60" x14ac:dyDescent="0.25">
      <c r="A70" s="28" t="str">
        <f>HYPERLINK("http://dukemed.duke.edu/modules/ooa_applicant/index.php?id=21","Duke University School of Medicine")</f>
        <v>Duke University School of Medicine</v>
      </c>
      <c r="B70" s="29" t="s">
        <v>339</v>
      </c>
      <c r="C70" s="30" t="s">
        <v>28</v>
      </c>
      <c r="D70" s="30" t="s">
        <v>28</v>
      </c>
      <c r="E70" s="30" t="s">
        <v>1049</v>
      </c>
      <c r="F70" s="26" t="s">
        <v>44</v>
      </c>
      <c r="G70" s="25" t="s">
        <v>1006</v>
      </c>
      <c r="H70" s="25" t="s">
        <v>1005</v>
      </c>
      <c r="I70" s="25" t="s">
        <v>914</v>
      </c>
      <c r="J70" s="25" t="s">
        <v>992</v>
      </c>
      <c r="K70" s="26" t="s">
        <v>993</v>
      </c>
    </row>
    <row r="71" spans="1:11" s="33" customFormat="1" ht="30" x14ac:dyDescent="0.25">
      <c r="A71" s="32" t="str">
        <f>HYPERLINK("http://www.ecu.edu/cs-dhs/bsomadmissions/require.cfm","The Brody School of Medicine at East Carolina University")</f>
        <v>The Brody School of Medicine at East Carolina University</v>
      </c>
      <c r="B71" s="33" t="s">
        <v>339</v>
      </c>
      <c r="C71" s="34" t="s">
        <v>44</v>
      </c>
      <c r="D71" s="34" t="s">
        <v>44</v>
      </c>
      <c r="E71" s="34" t="s">
        <v>44</v>
      </c>
      <c r="F71" s="35" t="s">
        <v>28</v>
      </c>
      <c r="G71" s="34" t="s">
        <v>44</v>
      </c>
      <c r="H71" s="37" t="s">
        <v>28</v>
      </c>
      <c r="I71" s="35" t="s">
        <v>931</v>
      </c>
      <c r="J71" s="35" t="s">
        <v>28</v>
      </c>
      <c r="K71" s="37"/>
    </row>
    <row r="72" spans="1:11" s="29" customFormat="1" ht="45" x14ac:dyDescent="0.25">
      <c r="A72" s="28" t="str">
        <f>HYPERLINK("http://www.med.unc.edu/admit/requirements-1/academic-requirements","University of North Carolina at Chapel Hill School of Medicine")</f>
        <v>University of North Carolina at Chapel Hill School of Medicine</v>
      </c>
      <c r="B72" s="29" t="s">
        <v>339</v>
      </c>
      <c r="C72" s="30" t="s">
        <v>44</v>
      </c>
      <c r="D72" s="30" t="s">
        <v>44</v>
      </c>
      <c r="E72" s="30" t="s">
        <v>1050</v>
      </c>
      <c r="F72" s="25" t="s">
        <v>28</v>
      </c>
      <c r="G72" s="30" t="s">
        <v>44</v>
      </c>
      <c r="H72" s="26" t="s">
        <v>28</v>
      </c>
      <c r="I72" s="25" t="s">
        <v>956</v>
      </c>
      <c r="J72" s="25" t="s">
        <v>994</v>
      </c>
      <c r="K72" s="26"/>
    </row>
    <row r="73" spans="1:11" s="33" customFormat="1" ht="45" customHeight="1" x14ac:dyDescent="0.25">
      <c r="A73" s="38" t="str">
        <f>HYPERLINK("http://www.wakehealth.edu/School/Admissions/#credits","Wake Forest School of Medicine of Wake Forest Baptist Medical Center")</f>
        <v>Wake Forest School of Medicine of Wake Forest Baptist Medical Center</v>
      </c>
      <c r="B73" s="33" t="s">
        <v>339</v>
      </c>
      <c r="C73" s="34" t="s">
        <v>28</v>
      </c>
      <c r="D73" s="34" t="s">
        <v>28</v>
      </c>
      <c r="E73" s="34" t="s">
        <v>28</v>
      </c>
      <c r="F73" s="37" t="s">
        <v>28</v>
      </c>
      <c r="G73" s="35" t="s">
        <v>28</v>
      </c>
      <c r="H73" s="35" t="s">
        <v>28</v>
      </c>
      <c r="I73" s="35" t="s">
        <v>28</v>
      </c>
      <c r="J73" s="35" t="s">
        <v>28</v>
      </c>
      <c r="K73" s="37" t="s">
        <v>984</v>
      </c>
    </row>
    <row r="74" spans="1:11" s="29" customFormat="1" ht="60" x14ac:dyDescent="0.25">
      <c r="A74" s="28" t="str">
        <f>HYPERLINK("http://www.med.und.edu/student-affairs-admissions/prerequisites.cfm","University of North Dakota-School of Medicine and Health Sciences")</f>
        <v>University of North Dakota-School of Medicine and Health Sciences</v>
      </c>
      <c r="B74" s="29" t="s">
        <v>355</v>
      </c>
      <c r="C74" s="30" t="s">
        <v>44</v>
      </c>
      <c r="D74" s="30" t="s">
        <v>1028</v>
      </c>
      <c r="E74" s="30" t="s">
        <v>44</v>
      </c>
      <c r="F74" s="26" t="s">
        <v>28</v>
      </c>
      <c r="G74" s="30" t="s">
        <v>44</v>
      </c>
      <c r="H74" s="25" t="s">
        <v>44</v>
      </c>
      <c r="I74" s="25" t="s">
        <v>916</v>
      </c>
      <c r="J74" s="25" t="s">
        <v>1051</v>
      </c>
      <c r="K74" s="26"/>
    </row>
    <row r="75" spans="1:11" s="33" customFormat="1" ht="45" x14ac:dyDescent="0.25">
      <c r="A75" s="32" t="str">
        <f>HYPERLINK("http://medschool.creighton.edu/medicine/oma/app/req/index.php","Creighton University School of Medicine")</f>
        <v>Creighton University School of Medicine</v>
      </c>
      <c r="B75" s="33" t="s">
        <v>360</v>
      </c>
      <c r="C75" s="34" t="s">
        <v>28</v>
      </c>
      <c r="D75" s="34" t="s">
        <v>28</v>
      </c>
      <c r="E75" s="34" t="s">
        <v>28</v>
      </c>
      <c r="F75" s="37" t="s">
        <v>44</v>
      </c>
      <c r="G75" s="35" t="s">
        <v>28</v>
      </c>
      <c r="H75" s="35" t="s">
        <v>917</v>
      </c>
      <c r="I75" s="35" t="s">
        <v>931</v>
      </c>
      <c r="J75" s="37" t="s">
        <v>995</v>
      </c>
      <c r="K75" s="37"/>
    </row>
    <row r="76" spans="1:11" s="29" customFormat="1" ht="60" x14ac:dyDescent="0.25">
      <c r="A76" s="24" t="str">
        <f>HYPERLINK("http://www.unmc.edu/com/entrance.htm","University of Nebraska College of Medicine")</f>
        <v>University of Nebraska College of Medicine</v>
      </c>
      <c r="B76" s="29" t="s">
        <v>360</v>
      </c>
      <c r="C76" s="30" t="s">
        <v>44</v>
      </c>
      <c r="D76" s="30" t="s">
        <v>44</v>
      </c>
      <c r="E76" s="30" t="s">
        <v>44</v>
      </c>
      <c r="F76" s="25" t="s">
        <v>44</v>
      </c>
      <c r="G76" s="30" t="s">
        <v>44</v>
      </c>
      <c r="H76" s="25" t="s">
        <v>1041</v>
      </c>
      <c r="I76" s="25" t="s">
        <v>918</v>
      </c>
      <c r="J76" s="25" t="s">
        <v>1052</v>
      </c>
      <c r="K76" s="26"/>
    </row>
    <row r="77" spans="1:11" s="33" customFormat="1" ht="87" customHeight="1" x14ac:dyDescent="0.25">
      <c r="A77" s="32" t="str">
        <f>HYPERLINK("http://geiselmed.dartmouth.edu/admissions/admission/","Geisel School of Medicine at Dartmouth")</f>
        <v>Geisel School of Medicine at Dartmouth</v>
      </c>
      <c r="B77" s="33" t="s">
        <v>368</v>
      </c>
      <c r="C77" s="34" t="s">
        <v>996</v>
      </c>
      <c r="D77" s="34" t="s">
        <v>1008</v>
      </c>
      <c r="E77" s="34" t="s">
        <v>1006</v>
      </c>
      <c r="F77" s="35" t="s">
        <v>44</v>
      </c>
      <c r="G77" s="34" t="s">
        <v>1053</v>
      </c>
      <c r="H77" s="35" t="s">
        <v>1041</v>
      </c>
      <c r="I77" s="35" t="s">
        <v>28</v>
      </c>
      <c r="J77" s="37" t="s">
        <v>28</v>
      </c>
      <c r="K77" s="35" t="s">
        <v>1054</v>
      </c>
    </row>
    <row r="78" spans="1:11" s="29" customFormat="1" ht="45" x14ac:dyDescent="0.25">
      <c r="A78" s="24" t="str">
        <f>HYPERLINK("http://www.rowan.edu/coopermed/students/admissions/prerequisites.php","Cooper Medical School of Rowan University")</f>
        <v>Cooper Medical School of Rowan University</v>
      </c>
      <c r="B78" s="29" t="s">
        <v>374</v>
      </c>
      <c r="C78" s="30" t="s">
        <v>996</v>
      </c>
      <c r="D78" s="30" t="s">
        <v>996</v>
      </c>
      <c r="E78" s="30" t="s">
        <v>44</v>
      </c>
      <c r="F78" s="25" t="s">
        <v>28</v>
      </c>
      <c r="G78" s="25" t="s">
        <v>1006</v>
      </c>
      <c r="H78" s="26" t="s">
        <v>28</v>
      </c>
      <c r="I78" s="25" t="s">
        <v>919</v>
      </c>
      <c r="J78" s="25" t="s">
        <v>28</v>
      </c>
      <c r="K78" s="25" t="s">
        <v>1055</v>
      </c>
    </row>
    <row r="79" spans="1:11" s="33" customFormat="1" ht="45" x14ac:dyDescent="0.25">
      <c r="A79" s="38" t="str">
        <f>HYPERLINK("http://njms.umdnj.edu/admissions/prospective/apply_requirements.cfm","Rutgers New Jersey Medical School")</f>
        <v>Rutgers New Jersey Medical School</v>
      </c>
      <c r="B79" s="33" t="s">
        <v>374</v>
      </c>
      <c r="C79" s="34" t="s">
        <v>44</v>
      </c>
      <c r="D79" s="34" t="s">
        <v>44</v>
      </c>
      <c r="E79" s="34" t="s">
        <v>44</v>
      </c>
      <c r="F79" s="35" t="s">
        <v>28</v>
      </c>
      <c r="G79" s="34" t="s">
        <v>44</v>
      </c>
      <c r="H79" s="35" t="s">
        <v>28</v>
      </c>
      <c r="I79" s="35" t="s">
        <v>920</v>
      </c>
      <c r="J79" s="37" t="s">
        <v>28</v>
      </c>
      <c r="K79" s="37"/>
    </row>
    <row r="80" spans="1:11" s="29" customFormat="1" ht="60" x14ac:dyDescent="0.25">
      <c r="A80" s="28" t="str">
        <f>HYPERLINK("http://rwjms.umdnj.edu/education/admissions/selection_process.html","Rutgers Robert Wood Johnson Medical School")</f>
        <v>Rutgers Robert Wood Johnson Medical School</v>
      </c>
      <c r="B80" s="29" t="s">
        <v>374</v>
      </c>
      <c r="C80" s="30" t="s">
        <v>44</v>
      </c>
      <c r="D80" s="30" t="s">
        <v>1028</v>
      </c>
      <c r="E80" s="30" t="s">
        <v>44</v>
      </c>
      <c r="F80" s="25" t="s">
        <v>28</v>
      </c>
      <c r="G80" s="30" t="s">
        <v>44</v>
      </c>
      <c r="H80" s="25" t="s">
        <v>908</v>
      </c>
      <c r="I80" s="25" t="s">
        <v>997</v>
      </c>
      <c r="J80" s="26" t="s">
        <v>28</v>
      </c>
      <c r="K80" s="26"/>
    </row>
    <row r="81" spans="1:11" s="33" customFormat="1" ht="30" x14ac:dyDescent="0.25">
      <c r="A81" s="38" t="str">
        <f>HYPERLINK("http://som.unm.edu/admissions/application/prerequisites.html","University of New Mexico School of Medicine")</f>
        <v>University of New Mexico School of Medicine</v>
      </c>
      <c r="B81" s="33" t="s">
        <v>385</v>
      </c>
      <c r="C81" s="34" t="s">
        <v>44</v>
      </c>
      <c r="D81" s="34" t="s">
        <v>44</v>
      </c>
      <c r="E81" s="34" t="s">
        <v>44</v>
      </c>
      <c r="F81" s="35" t="s">
        <v>44</v>
      </c>
      <c r="G81" s="34" t="s">
        <v>1006</v>
      </c>
      <c r="H81" s="37" t="s">
        <v>28</v>
      </c>
      <c r="I81" s="35" t="s">
        <v>28</v>
      </c>
      <c r="J81" s="37" t="s">
        <v>28</v>
      </c>
      <c r="K81" s="37"/>
    </row>
    <row r="82" spans="1:11" s="29" customFormat="1" ht="60" x14ac:dyDescent="0.25">
      <c r="A82" s="28" t="str">
        <f>HYPERLINK("http://medicine.nevada.edu/asa/admissions/applicants/selection-factors/course-requirements","University of Nevada School of Medicine")</f>
        <v>University of Nevada School of Medicine</v>
      </c>
      <c r="B82" s="29" t="s">
        <v>389</v>
      </c>
      <c r="C82" s="30" t="s">
        <v>44</v>
      </c>
      <c r="D82" s="30" t="s">
        <v>44</v>
      </c>
      <c r="E82" s="30" t="s">
        <v>44</v>
      </c>
      <c r="F82" s="25" t="s">
        <v>44</v>
      </c>
      <c r="G82" s="30" t="s">
        <v>1006</v>
      </c>
      <c r="H82" s="26" t="s">
        <v>28</v>
      </c>
      <c r="I82" s="25" t="s">
        <v>28</v>
      </c>
      <c r="J82" s="25" t="s">
        <v>1056</v>
      </c>
      <c r="K82" s="26"/>
    </row>
    <row r="83" spans="1:11" s="33" customFormat="1" ht="33.75" customHeight="1" x14ac:dyDescent="0.25">
      <c r="A83" s="32" t="str">
        <f>HYPERLINK("http://www.amc.edu/academic/Undergraduate_Admissions/","Albany Medical College")</f>
        <v>Albany Medical College</v>
      </c>
      <c r="B83" s="33" t="s">
        <v>393</v>
      </c>
      <c r="C83" s="34" t="s">
        <v>44</v>
      </c>
      <c r="D83" s="34" t="s">
        <v>44</v>
      </c>
      <c r="E83" s="34" t="s">
        <v>44</v>
      </c>
      <c r="F83" s="37" t="s">
        <v>28</v>
      </c>
      <c r="G83" s="34" t="s">
        <v>44</v>
      </c>
      <c r="H83" s="37" t="s">
        <v>28</v>
      </c>
      <c r="I83" s="35" t="s">
        <v>28</v>
      </c>
      <c r="J83" s="37" t="s">
        <v>28</v>
      </c>
      <c r="K83" s="37"/>
    </row>
    <row r="84" spans="1:11" s="29" customFormat="1" ht="60.75" customHeight="1" x14ac:dyDescent="0.25">
      <c r="A84" s="28" t="str">
        <f>HYPERLINK("http://www.einstein.yu.edu/education/md-program/admissions/application-procedure/course-requirements.aspx","Albert Einstein College of Medicine of Yeshiva University")</f>
        <v>Albert Einstein College of Medicine of Yeshiva University</v>
      </c>
      <c r="B84" s="29" t="s">
        <v>393</v>
      </c>
      <c r="C84" s="30" t="s">
        <v>28</v>
      </c>
      <c r="D84" s="30" t="s">
        <v>28</v>
      </c>
      <c r="E84" s="30" t="s">
        <v>28</v>
      </c>
      <c r="F84" s="25" t="s">
        <v>28</v>
      </c>
      <c r="G84" s="25" t="s">
        <v>28</v>
      </c>
      <c r="H84" s="26" t="s">
        <v>28</v>
      </c>
      <c r="I84" s="25" t="s">
        <v>28</v>
      </c>
      <c r="J84" s="25" t="s">
        <v>28</v>
      </c>
      <c r="K84" s="25" t="s">
        <v>985</v>
      </c>
    </row>
    <row r="85" spans="1:11" s="33" customFormat="1" ht="63" customHeight="1" x14ac:dyDescent="0.25">
      <c r="A85" s="32" t="str">
        <f>HYPERLINK("http://ps.columbia.edu/education/admissions/applying/application-requirements","Columbia University College of Physicians and Surgeons")</f>
        <v>Columbia University College of Physicians and Surgeons</v>
      </c>
      <c r="B85" s="33" t="s">
        <v>393</v>
      </c>
      <c r="C85" s="34" t="s">
        <v>942</v>
      </c>
      <c r="D85" s="34" t="s">
        <v>44</v>
      </c>
      <c r="E85" s="34" t="s">
        <v>44</v>
      </c>
      <c r="F85" s="37" t="s">
        <v>28</v>
      </c>
      <c r="G85" s="34" t="s">
        <v>44</v>
      </c>
      <c r="H85" s="37" t="s">
        <v>28</v>
      </c>
      <c r="I85" s="35" t="s">
        <v>910</v>
      </c>
      <c r="J85" s="37" t="s">
        <v>28</v>
      </c>
      <c r="K85" s="35" t="s">
        <v>1057</v>
      </c>
    </row>
    <row r="86" spans="1:11" s="29" customFormat="1" ht="45" x14ac:dyDescent="0.25">
      <c r="A86" s="28" t="str">
        <f>HYPERLINK("http://medicine.hofstra.edu/admission/md/mdadmissions_application_req.html","Hofstra North Shore - LIJ School of Medicine at Hofstra University")</f>
        <v>Hofstra North Shore - LIJ School of Medicine at Hofstra University</v>
      </c>
      <c r="B86" s="29" t="s">
        <v>393</v>
      </c>
      <c r="C86" s="30" t="s">
        <v>942</v>
      </c>
      <c r="D86" s="30" t="s">
        <v>942</v>
      </c>
      <c r="E86" s="30" t="s">
        <v>44</v>
      </c>
      <c r="F86" s="26" t="s">
        <v>28</v>
      </c>
      <c r="G86" s="25" t="s">
        <v>1006</v>
      </c>
      <c r="H86" s="25" t="s">
        <v>908</v>
      </c>
      <c r="I86" s="25" t="s">
        <v>998</v>
      </c>
      <c r="J86" s="25" t="s">
        <v>28</v>
      </c>
      <c r="K86" s="25" t="s">
        <v>999</v>
      </c>
    </row>
    <row r="87" spans="1:11" s="33" customFormat="1" ht="102" customHeight="1" x14ac:dyDescent="0.25">
      <c r="A87" s="32" t="str">
        <f>HYPERLINK("http://icahn.mssm.edu/education/medical-education/programs/md-program/admissions/academic-standards","Icahn School of Medicine at Mount Sinai")</f>
        <v>Icahn School of Medicine at Mount Sinai</v>
      </c>
      <c r="B87" s="33" t="s">
        <v>393</v>
      </c>
      <c r="C87" s="34" t="s">
        <v>44</v>
      </c>
      <c r="D87" s="34" t="s">
        <v>1028</v>
      </c>
      <c r="E87" s="34" t="s">
        <v>44</v>
      </c>
      <c r="F87" s="35" t="s">
        <v>28</v>
      </c>
      <c r="G87" s="34" t="s">
        <v>44</v>
      </c>
      <c r="H87" s="35" t="s">
        <v>1058</v>
      </c>
      <c r="I87" s="35" t="s">
        <v>921</v>
      </c>
      <c r="J87" s="35" t="s">
        <v>28</v>
      </c>
      <c r="K87" s="37"/>
    </row>
    <row r="88" spans="1:11" s="29" customFormat="1" ht="53.25" customHeight="1" x14ac:dyDescent="0.25">
      <c r="A88" s="24" t="str">
        <f>HYPERLINK("http://www.nymc.edu/Academics/SchoolOfMedicine/Admissions/PremedicalCourseworkRequirements.html","New York Medical College")</f>
        <v>New York Medical College</v>
      </c>
      <c r="B88" s="29" t="s">
        <v>393</v>
      </c>
      <c r="C88" s="30" t="s">
        <v>44</v>
      </c>
      <c r="D88" s="30" t="s">
        <v>940</v>
      </c>
      <c r="E88" s="30" t="s">
        <v>44</v>
      </c>
      <c r="F88" s="25" t="s">
        <v>44</v>
      </c>
      <c r="G88" s="30" t="s">
        <v>44</v>
      </c>
      <c r="H88" s="26" t="s">
        <v>28</v>
      </c>
      <c r="I88" s="25" t="s">
        <v>910</v>
      </c>
      <c r="J88" s="26" t="s">
        <v>28</v>
      </c>
      <c r="K88" s="26"/>
    </row>
    <row r="89" spans="1:11" s="33" customFormat="1" ht="30" x14ac:dyDescent="0.25">
      <c r="A89" s="32" t="str">
        <f>HYPERLINK("http://school.med.nyu.edu/md-admissions/how-apply/admissions-requirements-selection-criteria","New York University School of Medicine")</f>
        <v>New York University School of Medicine</v>
      </c>
      <c r="B89" s="33" t="s">
        <v>393</v>
      </c>
      <c r="C89" s="34" t="s">
        <v>28</v>
      </c>
      <c r="D89" s="34" t="s">
        <v>28</v>
      </c>
      <c r="E89" s="34" t="s">
        <v>28</v>
      </c>
      <c r="F89" s="35" t="s">
        <v>28</v>
      </c>
      <c r="G89" s="34" t="s">
        <v>28</v>
      </c>
      <c r="H89" s="37" t="s">
        <v>28</v>
      </c>
      <c r="I89" s="35" t="s">
        <v>28</v>
      </c>
      <c r="J89" s="37" t="s">
        <v>28</v>
      </c>
      <c r="K89" s="37" t="s">
        <v>1000</v>
      </c>
    </row>
    <row r="90" spans="1:11" s="29" customFormat="1" ht="30" x14ac:dyDescent="0.25">
      <c r="A90" s="28" t="str">
        <f>HYPERLINK("http://sls.downstate.edu/admissions/com/requirements.html","State University of New York-Downstate Medical Center College of Medicine")</f>
        <v>State University of New York-Downstate Medical Center College of Medicine</v>
      </c>
      <c r="B90" s="29" t="s">
        <v>393</v>
      </c>
      <c r="C90" s="30" t="s">
        <v>44</v>
      </c>
      <c r="D90" s="30" t="s">
        <v>44</v>
      </c>
      <c r="E90" s="30" t="s">
        <v>44</v>
      </c>
      <c r="F90" s="25" t="s">
        <v>28</v>
      </c>
      <c r="G90" s="30" t="s">
        <v>44</v>
      </c>
      <c r="H90" s="26" t="s">
        <v>28</v>
      </c>
      <c r="I90" s="25" t="s">
        <v>931</v>
      </c>
      <c r="J90" s="26" t="s">
        <v>28</v>
      </c>
      <c r="K90" s="26"/>
    </row>
    <row r="91" spans="1:11" s="33" customFormat="1" ht="45" x14ac:dyDescent="0.25">
      <c r="A91" s="32" t="str">
        <f>HYPERLINK("http://www.upstate.edu/com/admissions/faqs.php","State University of New York-Upstate Medical University")</f>
        <v>State University of New York-Upstate Medical University</v>
      </c>
      <c r="B91" s="33" t="s">
        <v>393</v>
      </c>
      <c r="C91" s="34" t="s">
        <v>44</v>
      </c>
      <c r="D91" s="34" t="s">
        <v>940</v>
      </c>
      <c r="E91" s="34" t="s">
        <v>44</v>
      </c>
      <c r="F91" s="37" t="s">
        <v>44</v>
      </c>
      <c r="G91" s="34" t="s">
        <v>44</v>
      </c>
      <c r="H91" s="37" t="s">
        <v>1060</v>
      </c>
      <c r="I91" s="35" t="s">
        <v>957</v>
      </c>
      <c r="J91" s="37" t="s">
        <v>28</v>
      </c>
      <c r="K91" s="37"/>
    </row>
    <row r="92" spans="1:11" s="29" customFormat="1" ht="60" x14ac:dyDescent="0.25">
      <c r="A92" s="24" t="str">
        <f>HYPERLINK("http://medicine.stonybrookmedicine.edu/admissions#admissions","Stony Brook University School of Medicine")</f>
        <v>Stony Brook University School of Medicine</v>
      </c>
      <c r="B92" s="29" t="s">
        <v>393</v>
      </c>
      <c r="C92" s="30" t="s">
        <v>942</v>
      </c>
      <c r="D92" s="30" t="s">
        <v>942</v>
      </c>
      <c r="E92" s="30" t="s">
        <v>1059</v>
      </c>
      <c r="F92" s="26" t="s">
        <v>44</v>
      </c>
      <c r="G92" s="25" t="s">
        <v>936</v>
      </c>
      <c r="H92" s="25" t="s">
        <v>1060</v>
      </c>
      <c r="I92" s="25" t="s">
        <v>958</v>
      </c>
      <c r="J92" s="25" t="s">
        <v>1061</v>
      </c>
      <c r="K92" s="25" t="s">
        <v>1062</v>
      </c>
    </row>
    <row r="93" spans="1:11" s="33" customFormat="1" ht="30" x14ac:dyDescent="0.25">
      <c r="A93" s="38" t="str">
        <f>HYPERLINK("http://www.smbs.buffalo.edu/ome/admission/admission_preparation.htm","University at Buffalo State University of New York School of Medicine and Biomedical Sciences")</f>
        <v>University at Buffalo State University of New York School of Medicine and Biomedical Sciences</v>
      </c>
      <c r="B93" s="33" t="s">
        <v>393</v>
      </c>
      <c r="C93" s="34" t="s">
        <v>44</v>
      </c>
      <c r="D93" s="34" t="s">
        <v>44</v>
      </c>
      <c r="E93" s="34" t="s">
        <v>44</v>
      </c>
      <c r="F93" s="35" t="s">
        <v>28</v>
      </c>
      <c r="G93" s="34" t="s">
        <v>1006</v>
      </c>
      <c r="H93" s="37" t="s">
        <v>28</v>
      </c>
      <c r="I93" s="35" t="s">
        <v>910</v>
      </c>
      <c r="J93" s="35" t="s">
        <v>28</v>
      </c>
      <c r="K93" s="37"/>
    </row>
    <row r="94" spans="1:11" s="29" customFormat="1" ht="45" x14ac:dyDescent="0.25">
      <c r="A94" s="28" t="str">
        <f>HYPERLINK("http://www.urmc.rochester.edu/education/md/admissions/process-overview/admissions-requirements.cfm","University of Rochester School of Medicine and Dentistry")</f>
        <v>University of Rochester School of Medicine and Dentistry</v>
      </c>
      <c r="B94" s="29" t="s">
        <v>393</v>
      </c>
      <c r="C94" s="30" t="s">
        <v>28</v>
      </c>
      <c r="D94" s="30" t="s">
        <v>44</v>
      </c>
      <c r="E94" s="30" t="s">
        <v>44</v>
      </c>
      <c r="F94" s="25" t="s">
        <v>28</v>
      </c>
      <c r="G94" s="30" t="s">
        <v>44</v>
      </c>
      <c r="H94" s="26" t="s">
        <v>28</v>
      </c>
      <c r="I94" s="25" t="s">
        <v>1063</v>
      </c>
      <c r="J94" s="25" t="s">
        <v>1039</v>
      </c>
      <c r="K94" s="26"/>
    </row>
    <row r="95" spans="1:11" s="33" customFormat="1" ht="71.25" customHeight="1" x14ac:dyDescent="0.25">
      <c r="A95" s="32" t="str">
        <f>HYPERLINK("http://weill.cornell.edu/education/admissions/app_req.html","Weill Cornell Medical College")</f>
        <v>Weill Cornell Medical College</v>
      </c>
      <c r="B95" s="33" t="s">
        <v>393</v>
      </c>
      <c r="C95" s="34" t="s">
        <v>44</v>
      </c>
      <c r="D95" s="34" t="s">
        <v>940</v>
      </c>
      <c r="E95" s="34" t="s">
        <v>44</v>
      </c>
      <c r="F95" s="37" t="s">
        <v>28</v>
      </c>
      <c r="G95" s="34" t="s">
        <v>44</v>
      </c>
      <c r="H95" s="37" t="s">
        <v>28</v>
      </c>
      <c r="I95" s="35" t="s">
        <v>959</v>
      </c>
      <c r="J95" s="35" t="s">
        <v>1064</v>
      </c>
      <c r="K95" s="37"/>
    </row>
    <row r="96" spans="1:11" s="29" customFormat="1" ht="45" x14ac:dyDescent="0.25">
      <c r="A96" s="28" t="str">
        <f>HYPERLINK("http://casemed.case.edu/admissions/process/requirements.cfm","Case Western Reserve University School of Medicine")</f>
        <v>Case Western Reserve University School of Medicine</v>
      </c>
      <c r="B96" s="29" t="s">
        <v>438</v>
      </c>
      <c r="C96" s="30" t="s">
        <v>44</v>
      </c>
      <c r="D96" s="30" t="s">
        <v>940</v>
      </c>
      <c r="E96" s="30" t="s">
        <v>28</v>
      </c>
      <c r="F96" s="26" t="s">
        <v>44</v>
      </c>
      <c r="G96" s="25" t="s">
        <v>28</v>
      </c>
      <c r="H96" s="26" t="s">
        <v>28</v>
      </c>
      <c r="I96" s="25" t="s">
        <v>915</v>
      </c>
      <c r="J96" s="25" t="s">
        <v>28</v>
      </c>
      <c r="K96" s="26" t="s">
        <v>1001</v>
      </c>
    </row>
    <row r="97" spans="1:11" s="33" customFormat="1" ht="30" x14ac:dyDescent="0.25">
      <c r="A97" s="38" t="str">
        <f>HYPERLINK("http://www.neomed.edu/admissions/medicine/direct/direct-entry-m.d.-admissions#-span-mce-name--strong--mce-style--font-weight--bold---style--font-weight--bold---class--apple-style-span--prerequisite-course-work-for-m-d--applicants--span-","Northeast Ohio Medical University")</f>
        <v>Northeast Ohio Medical University</v>
      </c>
      <c r="B97" s="33" t="s">
        <v>438</v>
      </c>
      <c r="C97" s="34" t="s">
        <v>28</v>
      </c>
      <c r="D97" s="34" t="s">
        <v>1006</v>
      </c>
      <c r="E97" s="34" t="s">
        <v>936</v>
      </c>
      <c r="F97" s="35" t="s">
        <v>28</v>
      </c>
      <c r="G97" s="35" t="s">
        <v>1006</v>
      </c>
      <c r="H97" s="37" t="s">
        <v>28</v>
      </c>
      <c r="I97" s="35" t="s">
        <v>28</v>
      </c>
      <c r="J97" s="35" t="s">
        <v>28</v>
      </c>
      <c r="K97" s="37"/>
    </row>
    <row r="98" spans="1:11" s="29" customFormat="1" ht="30" x14ac:dyDescent="0.25">
      <c r="A98" s="28" t="str">
        <f>HYPERLINK("http://medicine.osu.edu/admissions/md/preparing/pages/index.aspx","Ohio State University College of Medicine and Public Health")</f>
        <v>Ohio State University College of Medicine and Public Health</v>
      </c>
      <c r="B98" s="29" t="s">
        <v>438</v>
      </c>
      <c r="C98" s="30" t="s">
        <v>44</v>
      </c>
      <c r="D98" s="30" t="s">
        <v>44</v>
      </c>
      <c r="E98" s="30" t="s">
        <v>1006</v>
      </c>
      <c r="F98" s="26" t="s">
        <v>44</v>
      </c>
      <c r="G98" s="30" t="s">
        <v>44</v>
      </c>
      <c r="H98" s="26" t="s">
        <v>28</v>
      </c>
      <c r="I98" s="25" t="s">
        <v>28</v>
      </c>
      <c r="J98" s="25" t="s">
        <v>28</v>
      </c>
      <c r="K98" s="26"/>
    </row>
    <row r="99" spans="1:11" s="33" customFormat="1" ht="45" customHeight="1" x14ac:dyDescent="0.25">
      <c r="A99" s="38" t="str">
        <f>HYPERLINK("http://med.uc.edu/StudentServices/MedicalStudentAdmissions/Requirements.aspx","University of Cincinnati College of Medicine")</f>
        <v>University of Cincinnati College of Medicine</v>
      </c>
      <c r="B99" s="33" t="s">
        <v>438</v>
      </c>
      <c r="C99" s="34" t="s">
        <v>28</v>
      </c>
      <c r="D99" s="34" t="s">
        <v>28</v>
      </c>
      <c r="E99" s="34" t="s">
        <v>28</v>
      </c>
      <c r="F99" s="37" t="s">
        <v>28</v>
      </c>
      <c r="G99" s="35" t="s">
        <v>28</v>
      </c>
      <c r="H99" s="35" t="s">
        <v>28</v>
      </c>
      <c r="I99" s="35" t="s">
        <v>28</v>
      </c>
      <c r="J99" s="35" t="s">
        <v>28</v>
      </c>
      <c r="K99" s="37" t="s">
        <v>984</v>
      </c>
    </row>
    <row r="100" spans="1:11" s="29" customFormat="1" ht="30" x14ac:dyDescent="0.25">
      <c r="A100" s="28" t="str">
        <f>HYPERLINK("http://www.utoledo.edu/med/md/admissions/index.html","University of Toledo College of Medicine")</f>
        <v>University of Toledo College of Medicine</v>
      </c>
      <c r="B100" s="29" t="s">
        <v>438</v>
      </c>
      <c r="C100" s="30" t="s">
        <v>44</v>
      </c>
      <c r="D100" s="30" t="s">
        <v>44</v>
      </c>
      <c r="E100" s="30" t="s">
        <v>1065</v>
      </c>
      <c r="F100" s="25" t="s">
        <v>28</v>
      </c>
      <c r="G100" s="25" t="s">
        <v>1006</v>
      </c>
      <c r="H100" s="25" t="s">
        <v>908</v>
      </c>
      <c r="I100" s="25" t="s">
        <v>910</v>
      </c>
      <c r="J100" s="25" t="s">
        <v>28</v>
      </c>
      <c r="K100" s="26"/>
    </row>
    <row r="101" spans="1:11" s="33" customFormat="1" ht="30" x14ac:dyDescent="0.25">
      <c r="A101" s="32" t="str">
        <f>HYPERLINK("http://www.med.wright.edu/admiss/prerequisites","Wright State University School of Medicine")</f>
        <v>Wright State University School of Medicine</v>
      </c>
      <c r="B101" s="33" t="s">
        <v>438</v>
      </c>
      <c r="C101" s="34" t="s">
        <v>44</v>
      </c>
      <c r="D101" s="34" t="s">
        <v>44</v>
      </c>
      <c r="E101" s="34" t="s">
        <v>44</v>
      </c>
      <c r="F101" s="37" t="s">
        <v>28</v>
      </c>
      <c r="G101" s="34" t="s">
        <v>44</v>
      </c>
      <c r="H101" s="35" t="s">
        <v>908</v>
      </c>
      <c r="I101" s="35" t="s">
        <v>960</v>
      </c>
      <c r="J101" s="37" t="s">
        <v>28</v>
      </c>
      <c r="K101" s="37"/>
    </row>
    <row r="102" spans="1:11" s="29" customFormat="1" ht="90" x14ac:dyDescent="0.25">
      <c r="A102" s="24" t="str">
        <f>HYPERLINK("http://www.oumedicine.com/collegeofmedicine/information-about-/admissions","University of Oklahoma College of Medicine")</f>
        <v>University of Oklahoma College of Medicine</v>
      </c>
      <c r="B102" s="29" t="s">
        <v>458</v>
      </c>
      <c r="C102" s="30" t="s">
        <v>1006</v>
      </c>
      <c r="D102" s="30" t="s">
        <v>1006</v>
      </c>
      <c r="E102" s="30" t="s">
        <v>940</v>
      </c>
      <c r="F102" s="26" t="s">
        <v>28</v>
      </c>
      <c r="G102" s="25" t="s">
        <v>1006</v>
      </c>
      <c r="H102" s="26" t="s">
        <v>28</v>
      </c>
      <c r="I102" s="25" t="s">
        <v>910</v>
      </c>
      <c r="J102" s="25" t="s">
        <v>1066</v>
      </c>
      <c r="K102" s="26"/>
    </row>
    <row r="103" spans="1:11" s="33" customFormat="1" ht="45" x14ac:dyDescent="0.25">
      <c r="A103" s="32" t="str">
        <f>HYPERLINK("http://www.ohsu.edu/xd/education/schools/school-of-medicine/academic-programs/md-program/admissions/requirements.cfm","Oregon Health and Science University")</f>
        <v>Oregon Health and Science University</v>
      </c>
      <c r="B103" s="33" t="s">
        <v>462</v>
      </c>
      <c r="C103" s="34" t="s">
        <v>1007</v>
      </c>
      <c r="D103" s="34" t="s">
        <v>1068</v>
      </c>
      <c r="E103" s="34" t="s">
        <v>1007</v>
      </c>
      <c r="F103" s="37" t="s">
        <v>44</v>
      </c>
      <c r="G103" s="35" t="s">
        <v>1007</v>
      </c>
      <c r="H103" s="35" t="s">
        <v>1069</v>
      </c>
      <c r="I103" s="35" t="s">
        <v>918</v>
      </c>
      <c r="J103" s="35" t="s">
        <v>1067</v>
      </c>
      <c r="K103" s="37"/>
    </row>
    <row r="104" spans="1:11" s="29" customFormat="1" ht="60.75" customHeight="1" x14ac:dyDescent="0.25">
      <c r="A104" s="28" t="str">
        <f>HYPERLINK("https://www.drexelmed.edu/Home/Admissions/MDProgram/AdmissionsRequirements.aspx","Drexel University College of Medicine")</f>
        <v>Drexel University College of Medicine</v>
      </c>
      <c r="B104" s="29" t="s">
        <v>467</v>
      </c>
      <c r="C104" s="30" t="s">
        <v>28</v>
      </c>
      <c r="D104" s="30" t="s">
        <v>28</v>
      </c>
      <c r="E104" s="30" t="s">
        <v>28</v>
      </c>
      <c r="F104" s="25" t="s">
        <v>28</v>
      </c>
      <c r="G104" s="25" t="s">
        <v>28</v>
      </c>
      <c r="H104" s="26" t="s">
        <v>28</v>
      </c>
      <c r="I104" s="25" t="s">
        <v>28</v>
      </c>
      <c r="J104" s="25" t="s">
        <v>28</v>
      </c>
      <c r="K104" s="25" t="s">
        <v>985</v>
      </c>
    </row>
    <row r="105" spans="1:11" s="33" customFormat="1" ht="30" x14ac:dyDescent="0.25">
      <c r="A105" s="38" t="str">
        <f>HYPERLINK("http://www.jefferson.edu/jmc/admissions/apply/procedure.html","Sidney Kimmel Medical College of Thomas Jefferson University")</f>
        <v>Sidney Kimmel Medical College of Thomas Jefferson University</v>
      </c>
      <c r="B105" s="33" t="s">
        <v>467</v>
      </c>
      <c r="C105" s="34" t="s">
        <v>44</v>
      </c>
      <c r="D105" s="34" t="s">
        <v>44</v>
      </c>
      <c r="E105" s="34" t="s">
        <v>44</v>
      </c>
      <c r="F105" s="37" t="s">
        <v>28</v>
      </c>
      <c r="G105" s="34" t="s">
        <v>44</v>
      </c>
      <c r="H105" s="37" t="s">
        <v>28</v>
      </c>
      <c r="I105" s="35" t="s">
        <v>28</v>
      </c>
      <c r="J105" s="35" t="s">
        <v>28</v>
      </c>
      <c r="K105" s="37"/>
    </row>
    <row r="106" spans="1:11" s="29" customFormat="1" ht="45" x14ac:dyDescent="0.25">
      <c r="A106" s="28" t="str">
        <f>HYPERLINK("https://www2.med.psu.edu/mdadmissions/admissions/application-process/admissions-requirements/","Pennsylvania State University College of Medicine")</f>
        <v>Pennsylvania State University College of Medicine</v>
      </c>
      <c r="B106" s="29" t="s">
        <v>467</v>
      </c>
      <c r="C106" s="30" t="s">
        <v>44</v>
      </c>
      <c r="D106" s="30" t="s">
        <v>44</v>
      </c>
      <c r="E106" s="30" t="s">
        <v>44</v>
      </c>
      <c r="F106" s="26" t="s">
        <v>28</v>
      </c>
      <c r="G106" s="30" t="s">
        <v>44</v>
      </c>
      <c r="H106" s="25" t="s">
        <v>908</v>
      </c>
      <c r="I106" s="25" t="s">
        <v>28</v>
      </c>
      <c r="J106" s="25" t="s">
        <v>1070</v>
      </c>
      <c r="K106" s="26"/>
    </row>
    <row r="107" spans="1:11" s="33" customFormat="1" ht="45" x14ac:dyDescent="0.25">
      <c r="A107" s="32" t="str">
        <f>HYPERLINK("http://www.med.upenn.edu/admiss/admissions1.html","Raymond and Ruth Perelman School of Medicine at the University of Pennsylvania")</f>
        <v>Raymond and Ruth Perelman School of Medicine at the University of Pennsylvania</v>
      </c>
      <c r="B107" s="33" t="s">
        <v>467</v>
      </c>
      <c r="C107" s="34" t="s">
        <v>28</v>
      </c>
      <c r="D107" s="34" t="s">
        <v>28</v>
      </c>
      <c r="E107" s="34" t="s">
        <v>28</v>
      </c>
      <c r="F107" s="37" t="s">
        <v>28</v>
      </c>
      <c r="G107" s="35" t="s">
        <v>28</v>
      </c>
      <c r="H107" s="37" t="s">
        <v>28</v>
      </c>
      <c r="I107" s="35" t="s">
        <v>28</v>
      </c>
      <c r="J107" s="35" t="s">
        <v>28</v>
      </c>
      <c r="K107" s="35" t="s">
        <v>985</v>
      </c>
    </row>
    <row r="108" spans="1:11" s="29" customFormat="1" ht="75" x14ac:dyDescent="0.25">
      <c r="A108" s="24" t="str">
        <f>HYPERLINK("http://www.temple.edu/medicine/admissions/prospective_students/md_applicants.htm#requirements","Temple University School of Medicine")</f>
        <v>Temple University School of Medicine</v>
      </c>
      <c r="B108" s="29" t="s">
        <v>467</v>
      </c>
      <c r="C108" s="30" t="s">
        <v>1071</v>
      </c>
      <c r="D108" s="30" t="s">
        <v>1019</v>
      </c>
      <c r="E108" s="30" t="s">
        <v>44</v>
      </c>
      <c r="F108" s="26" t="s">
        <v>28</v>
      </c>
      <c r="G108" s="30" t="s">
        <v>44</v>
      </c>
      <c r="H108" s="26" t="s">
        <v>28</v>
      </c>
      <c r="I108" s="25" t="s">
        <v>28</v>
      </c>
      <c r="J108" s="25" t="s">
        <v>943</v>
      </c>
      <c r="K108" s="26"/>
    </row>
    <row r="109" spans="1:11" s="33" customFormat="1" ht="30" x14ac:dyDescent="0.25">
      <c r="A109" s="38" t="str">
        <f>HYPERLINK("http://www.thecommonwealthmedical.com/oth/Page.asp?PageID=OTH000156","The Commonwealth Medical College")</f>
        <v>The Commonwealth Medical College</v>
      </c>
      <c r="B109" s="33" t="s">
        <v>467</v>
      </c>
      <c r="C109" s="34" t="s">
        <v>44</v>
      </c>
      <c r="D109" s="34" t="s">
        <v>44</v>
      </c>
      <c r="E109" s="34" t="s">
        <v>44</v>
      </c>
      <c r="F109" s="37" t="s">
        <v>28</v>
      </c>
      <c r="G109" s="34" t="s">
        <v>44</v>
      </c>
      <c r="H109" s="37" t="s">
        <v>28</v>
      </c>
      <c r="I109" s="35" t="s">
        <v>1072</v>
      </c>
      <c r="J109" s="37" t="s">
        <v>28</v>
      </c>
      <c r="K109" s="37"/>
    </row>
    <row r="110" spans="1:11" s="29" customFormat="1" ht="30" x14ac:dyDescent="0.25">
      <c r="A110" s="28" t="str">
        <f>HYPERLINK("http://www.medadmissions.pitt.edu/admissions-requirements/requirements.php","University of Pittsburgh School of Medicine")</f>
        <v>University of Pittsburgh School of Medicine</v>
      </c>
      <c r="B110" s="29" t="s">
        <v>467</v>
      </c>
      <c r="C110" s="30" t="s">
        <v>44</v>
      </c>
      <c r="D110" s="30" t="s">
        <v>44</v>
      </c>
      <c r="E110" s="30" t="s">
        <v>44</v>
      </c>
      <c r="F110" s="26" t="s">
        <v>28</v>
      </c>
      <c r="G110" s="30" t="s">
        <v>44</v>
      </c>
      <c r="H110" s="26" t="s">
        <v>28</v>
      </c>
      <c r="I110" s="25" t="s">
        <v>931</v>
      </c>
      <c r="J110" s="26" t="s">
        <v>28</v>
      </c>
      <c r="K110" s="26"/>
    </row>
    <row r="111" spans="1:11" s="33" customFormat="1" ht="45" x14ac:dyDescent="0.25">
      <c r="A111" s="38" t="str">
        <f>HYPERLINK("http://www.psm.edu/Student_Affairs/Admissions/programs.htm","Ponce School of Medicine")</f>
        <v>Ponce School of Medicine</v>
      </c>
      <c r="B111" s="33" t="s">
        <v>490</v>
      </c>
      <c r="C111" s="34" t="s">
        <v>44</v>
      </c>
      <c r="D111" s="34" t="s">
        <v>44</v>
      </c>
      <c r="E111" s="34" t="s">
        <v>44</v>
      </c>
      <c r="F111" s="37" t="s">
        <v>28</v>
      </c>
      <c r="G111" s="34" t="s">
        <v>44</v>
      </c>
      <c r="H111" s="35" t="s">
        <v>908</v>
      </c>
      <c r="I111" s="35" t="s">
        <v>968</v>
      </c>
      <c r="J111" s="35" t="s">
        <v>1073</v>
      </c>
      <c r="K111" s="37"/>
    </row>
    <row r="112" spans="1:11" s="29" customFormat="1" x14ac:dyDescent="0.25">
      <c r="A112" s="28" t="str">
        <f>HYPERLINK("http://www.sanjuanbautista.edu/Admissions.aspx","San Juan Bautista School of Medicine")</f>
        <v>San Juan Bautista School of Medicine</v>
      </c>
      <c r="B112" s="29" t="s">
        <v>490</v>
      </c>
      <c r="C112" s="31" t="s">
        <v>929</v>
      </c>
      <c r="D112" s="31" t="s">
        <v>929</v>
      </c>
      <c r="E112" s="31" t="s">
        <v>929</v>
      </c>
      <c r="F112" s="31" t="s">
        <v>929</v>
      </c>
      <c r="G112" s="31" t="s">
        <v>929</v>
      </c>
      <c r="H112" s="31" t="s">
        <v>929</v>
      </c>
      <c r="I112" s="31" t="s">
        <v>929</v>
      </c>
      <c r="J112" s="26" t="s">
        <v>929</v>
      </c>
      <c r="K112" s="26"/>
    </row>
    <row r="113" spans="1:11" s="33" customFormat="1" ht="78.75" customHeight="1" x14ac:dyDescent="0.25">
      <c r="A113" s="32" t="str">
        <f>HYPERLINK("http://www.uccaribe.edu/admission/?page_id=1238","Universidad Central Del Caribe School of Medicine")</f>
        <v>Universidad Central Del Caribe School of Medicine</v>
      </c>
      <c r="B113" s="33" t="s">
        <v>490</v>
      </c>
      <c r="C113" s="34" t="s">
        <v>44</v>
      </c>
      <c r="D113" s="34" t="s">
        <v>44</v>
      </c>
      <c r="E113" s="34" t="s">
        <v>44</v>
      </c>
      <c r="F113" s="35" t="s">
        <v>28</v>
      </c>
      <c r="G113" s="34" t="s">
        <v>44</v>
      </c>
      <c r="H113" s="35" t="s">
        <v>908</v>
      </c>
      <c r="I113" s="35" t="s">
        <v>930</v>
      </c>
      <c r="J113" s="35" t="s">
        <v>1074</v>
      </c>
      <c r="K113" s="37"/>
    </row>
    <row r="114" spans="1:11" s="29" customFormat="1" ht="45" x14ac:dyDescent="0.25">
      <c r="A114" s="28" t="str">
        <f>HYPERLINK("http://md.rcm.upr.edu/md-program/","University of Puerto Rico School of Medicine")</f>
        <v>University of Puerto Rico School of Medicine</v>
      </c>
      <c r="B114" s="29" t="s">
        <v>490</v>
      </c>
      <c r="C114" s="30" t="s">
        <v>44</v>
      </c>
      <c r="D114" s="30" t="s">
        <v>44</v>
      </c>
      <c r="E114" s="30" t="s">
        <v>44</v>
      </c>
      <c r="F114" s="25" t="s">
        <v>28</v>
      </c>
      <c r="G114" s="30" t="s">
        <v>44</v>
      </c>
      <c r="H114" s="26" t="s">
        <v>28</v>
      </c>
      <c r="I114" s="25" t="s">
        <v>930</v>
      </c>
      <c r="J114" s="25" t="s">
        <v>1076</v>
      </c>
      <c r="K114" s="26"/>
    </row>
    <row r="115" spans="1:11" s="33" customFormat="1" ht="30" x14ac:dyDescent="0.25">
      <c r="A115" s="38" t="str">
        <f>HYPERLINK("http://brown.edu/academics/medical/admission/coursework","The Warren Alpert Medical School of Brown University")</f>
        <v>The Warren Alpert Medical School of Brown University</v>
      </c>
      <c r="B115" s="33" t="s">
        <v>504</v>
      </c>
      <c r="C115" s="34" t="s">
        <v>1006</v>
      </c>
      <c r="D115" s="34" t="s">
        <v>936</v>
      </c>
      <c r="E115" s="34" t="s">
        <v>1007</v>
      </c>
      <c r="F115" s="37" t="s">
        <v>28</v>
      </c>
      <c r="G115" s="35" t="s">
        <v>1006</v>
      </c>
      <c r="H115" s="35" t="s">
        <v>1075</v>
      </c>
      <c r="I115" s="35" t="s">
        <v>28</v>
      </c>
      <c r="J115" s="35" t="s">
        <v>1077</v>
      </c>
      <c r="K115" s="37"/>
    </row>
    <row r="116" spans="1:11" s="29" customFormat="1" ht="50.25" customHeight="1" x14ac:dyDescent="0.25">
      <c r="A116" s="24" t="str">
        <f>HYPERLINK("http://academicdepartments.musc.edu/esl/bulletin/medicine/admiss.html","Medical University of South Carolina College of Medicine")</f>
        <v>Medical University of South Carolina College of Medicine</v>
      </c>
      <c r="B116" s="29" t="s">
        <v>509</v>
      </c>
      <c r="C116" s="30" t="s">
        <v>44</v>
      </c>
      <c r="D116" s="30" t="s">
        <v>44</v>
      </c>
      <c r="E116" s="30" t="s">
        <v>44</v>
      </c>
      <c r="F116" s="25" t="s">
        <v>28</v>
      </c>
      <c r="G116" s="30" t="s">
        <v>44</v>
      </c>
      <c r="H116" s="26" t="s">
        <v>28</v>
      </c>
      <c r="I116" s="25" t="s">
        <v>28</v>
      </c>
      <c r="J116" s="26" t="s">
        <v>28</v>
      </c>
      <c r="K116" s="26" t="s">
        <v>984</v>
      </c>
    </row>
    <row r="117" spans="1:11" s="33" customFormat="1" ht="45" x14ac:dyDescent="0.25">
      <c r="A117" s="32" t="str">
        <f>HYPERLINK("http://admissions.med.sc.edu/admissions.requirements.asp","University of South Carolina School of Medicine")</f>
        <v>University of South Carolina School of Medicine</v>
      </c>
      <c r="B117" s="33" t="s">
        <v>509</v>
      </c>
      <c r="C117" s="34" t="s">
        <v>44</v>
      </c>
      <c r="D117" s="34" t="s">
        <v>44</v>
      </c>
      <c r="E117" s="34" t="s">
        <v>44</v>
      </c>
      <c r="F117" s="35" t="s">
        <v>28</v>
      </c>
      <c r="G117" s="35" t="s">
        <v>28</v>
      </c>
      <c r="H117" s="37" t="s">
        <v>28</v>
      </c>
      <c r="I117" s="35" t="s">
        <v>922</v>
      </c>
      <c r="J117" s="37" t="s">
        <v>28</v>
      </c>
      <c r="K117" s="37"/>
    </row>
    <row r="118" spans="1:11" s="29" customFormat="1" ht="55.5" customHeight="1" x14ac:dyDescent="0.25">
      <c r="A118" s="28" t="str">
        <f>HYPERLINK("http://www.greenvillemed.sc.edu/admission.shtml","University of South Carolina School of Medicine - Greenville New (Prelim Accreditation 2012)")</f>
        <v>University of South Carolina School of Medicine - Greenville New (Prelim Accreditation 2012)</v>
      </c>
      <c r="B118" s="29" t="s">
        <v>509</v>
      </c>
      <c r="C118" s="30" t="s">
        <v>44</v>
      </c>
      <c r="D118" s="30" t="s">
        <v>940</v>
      </c>
      <c r="E118" s="30" t="s">
        <v>44</v>
      </c>
      <c r="F118" s="25" t="s">
        <v>28</v>
      </c>
      <c r="G118" s="30" t="s">
        <v>940</v>
      </c>
      <c r="H118" s="26" t="s">
        <v>28</v>
      </c>
      <c r="I118" s="25" t="s">
        <v>1078</v>
      </c>
      <c r="J118" s="25" t="s">
        <v>969</v>
      </c>
      <c r="K118" s="26"/>
    </row>
    <row r="119" spans="1:11" s="33" customFormat="1" ht="60" x14ac:dyDescent="0.25">
      <c r="A119" s="32" t="str">
        <f>HYPERLINK("http://www.usd.edu/medical-school/medical-doctor-program/application-requirements.cfm","Sanford School of Medicine at the University of South Dakota")</f>
        <v>Sanford School of Medicine at the University of South Dakota</v>
      </c>
      <c r="B119" s="33" t="s">
        <v>519</v>
      </c>
      <c r="C119" s="34" t="s">
        <v>44</v>
      </c>
      <c r="D119" s="34" t="s">
        <v>940</v>
      </c>
      <c r="E119" s="34" t="s">
        <v>44</v>
      </c>
      <c r="F119" s="35" t="s">
        <v>44</v>
      </c>
      <c r="G119" s="34" t="s">
        <v>44</v>
      </c>
      <c r="H119" s="35" t="s">
        <v>1079</v>
      </c>
      <c r="I119" s="35" t="s">
        <v>28</v>
      </c>
      <c r="J119" s="35" t="s">
        <v>28</v>
      </c>
      <c r="K119" s="37"/>
    </row>
    <row r="120" spans="1:11" s="29" customFormat="1" ht="57" customHeight="1" x14ac:dyDescent="0.25">
      <c r="A120" s="28" t="str">
        <f>HYPERLINK("http://www.etsu.edu/com/sa/admissions/requirements/academicreq.aspx","East Tennessee State University , James H. Quillen College of Medicine")</f>
        <v>East Tennessee State University , James H. Quillen College of Medicine</v>
      </c>
      <c r="B120" s="29" t="s">
        <v>524</v>
      </c>
      <c r="C120" s="30" t="s">
        <v>28</v>
      </c>
      <c r="D120" s="30" t="s">
        <v>28</v>
      </c>
      <c r="E120" s="30" t="s">
        <v>28</v>
      </c>
      <c r="F120" s="25" t="s">
        <v>28</v>
      </c>
      <c r="G120" s="25" t="s">
        <v>28</v>
      </c>
      <c r="H120" s="26" t="s">
        <v>28</v>
      </c>
      <c r="I120" s="25" t="s">
        <v>28</v>
      </c>
      <c r="J120" s="25" t="s">
        <v>28</v>
      </c>
      <c r="K120" s="25" t="s">
        <v>985</v>
      </c>
    </row>
    <row r="121" spans="1:11" s="33" customFormat="1" ht="30" x14ac:dyDescent="0.25">
      <c r="A121" s="32" t="str">
        <f>HYPERLINK("http://www.mmc.edu/prospectivestudents/admissions/school-of-medicine/index.html","Meharry Medical College")</f>
        <v>Meharry Medical College</v>
      </c>
      <c r="B121" s="33" t="s">
        <v>524</v>
      </c>
      <c r="C121" s="34" t="s">
        <v>44</v>
      </c>
      <c r="D121" s="34" t="s">
        <v>44</v>
      </c>
      <c r="E121" s="34" t="s">
        <v>44</v>
      </c>
      <c r="F121" s="37" t="s">
        <v>28</v>
      </c>
      <c r="G121" s="34" t="s">
        <v>44</v>
      </c>
      <c r="H121" s="37" t="s">
        <v>28</v>
      </c>
      <c r="I121" s="35" t="s">
        <v>923</v>
      </c>
      <c r="J121" s="37" t="s">
        <v>28</v>
      </c>
      <c r="K121" s="37"/>
    </row>
    <row r="122" spans="1:11" s="29" customFormat="1" ht="30" x14ac:dyDescent="0.25">
      <c r="A122" s="28" t="str">
        <f>HYPERLINK("http://www.uthsc.edu/Medicine/Admissions/admissionsrequirements.php","University of Tennessee Health Science Center, College of Medicine")</f>
        <v>University of Tennessee Health Science Center, College of Medicine</v>
      </c>
      <c r="B122" s="29" t="s">
        <v>524</v>
      </c>
      <c r="C122" s="30" t="s">
        <v>44</v>
      </c>
      <c r="D122" s="30" t="s">
        <v>44</v>
      </c>
      <c r="E122" s="30" t="s">
        <v>44</v>
      </c>
      <c r="F122" s="25" t="s">
        <v>28</v>
      </c>
      <c r="G122" s="30" t="s">
        <v>44</v>
      </c>
      <c r="H122" s="26" t="s">
        <v>28</v>
      </c>
      <c r="I122" s="25" t="s">
        <v>961</v>
      </c>
      <c r="J122" s="25" t="s">
        <v>28</v>
      </c>
      <c r="K122" s="26"/>
    </row>
    <row r="123" spans="1:11" s="33" customFormat="1" ht="60.75" customHeight="1" x14ac:dyDescent="0.25">
      <c r="A123" s="38" t="str">
        <f>HYPERLINK("https://medschool.vanderbilt.edu/admissions/admission-requirements#required","Vanderbilt University School of Medicine")</f>
        <v>Vanderbilt University School of Medicine</v>
      </c>
      <c r="B123" s="33" t="s">
        <v>524</v>
      </c>
      <c r="C123" s="34" t="s">
        <v>28</v>
      </c>
      <c r="D123" s="34" t="s">
        <v>28</v>
      </c>
      <c r="E123" s="34" t="s">
        <v>28</v>
      </c>
      <c r="F123" s="35" t="s">
        <v>28</v>
      </c>
      <c r="G123" s="35" t="s">
        <v>28</v>
      </c>
      <c r="H123" s="37" t="s">
        <v>28</v>
      </c>
      <c r="I123" s="35" t="s">
        <v>28</v>
      </c>
      <c r="J123" s="35" t="s">
        <v>28</v>
      </c>
      <c r="K123" s="35" t="s">
        <v>985</v>
      </c>
    </row>
    <row r="124" spans="1:11" s="29" customFormat="1" ht="75" x14ac:dyDescent="0.25">
      <c r="A124" s="24" t="str">
        <f>HYPERLINK("http://www.bcm.edu/admissions/admissionsrequirements","Baylor College of Medicine")</f>
        <v>Baylor College of Medicine</v>
      </c>
      <c r="B124" s="29" t="s">
        <v>538</v>
      </c>
      <c r="C124" s="30" t="s">
        <v>28</v>
      </c>
      <c r="D124" s="30" t="s">
        <v>1006</v>
      </c>
      <c r="E124" s="30" t="s">
        <v>28</v>
      </c>
      <c r="F124" s="26" t="s">
        <v>44</v>
      </c>
      <c r="G124" s="25" t="s">
        <v>28</v>
      </c>
      <c r="H124" s="25" t="s">
        <v>44</v>
      </c>
      <c r="I124" s="25" t="s">
        <v>925</v>
      </c>
      <c r="J124" s="25" t="s">
        <v>1080</v>
      </c>
      <c r="K124" s="26"/>
    </row>
    <row r="125" spans="1:11" s="33" customFormat="1" ht="30" x14ac:dyDescent="0.25">
      <c r="A125" s="38" t="str">
        <f>HYPERLINK("http://medicine.tamhsc.edu/admissions/faq.html#courses","Texas A&amp;M Health Science Center, College of Medicine")</f>
        <v>Texas A&amp;M Health Science Center, College of Medicine</v>
      </c>
      <c r="B125" s="33" t="s">
        <v>538</v>
      </c>
      <c r="C125" s="34" t="s">
        <v>44</v>
      </c>
      <c r="D125" s="34" t="s">
        <v>44</v>
      </c>
      <c r="E125" s="34" t="s">
        <v>44</v>
      </c>
      <c r="F125" s="35" t="s">
        <v>44</v>
      </c>
      <c r="G125" s="34" t="s">
        <v>44</v>
      </c>
      <c r="H125" s="35" t="s">
        <v>1060</v>
      </c>
      <c r="I125" s="35" t="s">
        <v>910</v>
      </c>
      <c r="J125" s="37" t="s">
        <v>924</v>
      </c>
      <c r="K125" s="37"/>
    </row>
    <row r="126" spans="1:11" s="29" customFormat="1" ht="30" x14ac:dyDescent="0.25">
      <c r="A126" s="28" t="str">
        <f>HYPERLINK("http://www.ttuhsc.edu/fostersom/admissions/requirements.aspx","Texas Tech University Health Sciences Center Paul L. Foster School of Medicine")</f>
        <v>Texas Tech University Health Sciences Center Paul L. Foster School of Medicine</v>
      </c>
      <c r="B126" s="29" t="s">
        <v>538</v>
      </c>
      <c r="C126" s="30" t="s">
        <v>44</v>
      </c>
      <c r="D126" s="30" t="s">
        <v>44</v>
      </c>
      <c r="E126" s="30" t="s">
        <v>44</v>
      </c>
      <c r="F126" s="25" t="s">
        <v>44</v>
      </c>
      <c r="G126" s="30" t="s">
        <v>44</v>
      </c>
      <c r="H126" s="25" t="s">
        <v>1060</v>
      </c>
      <c r="I126" s="25" t="s">
        <v>910</v>
      </c>
      <c r="J126" s="25" t="s">
        <v>926</v>
      </c>
      <c r="K126" s="26"/>
    </row>
    <row r="127" spans="1:11" s="33" customFormat="1" ht="30" x14ac:dyDescent="0.25">
      <c r="A127" s="32" t="str">
        <f>HYPERLINK("http://www.ttuhsc.edu/som/admissions/reqs.aspx","Texas Tech University Health Sciences Center School of Medicine")</f>
        <v>Texas Tech University Health Sciences Center School of Medicine</v>
      </c>
      <c r="B127" s="33" t="s">
        <v>538</v>
      </c>
      <c r="C127" s="34" t="s">
        <v>44</v>
      </c>
      <c r="D127" s="34" t="s">
        <v>44</v>
      </c>
      <c r="E127" s="34" t="s">
        <v>44</v>
      </c>
      <c r="F127" s="37" t="s">
        <v>44</v>
      </c>
      <c r="G127" s="34" t="s">
        <v>44</v>
      </c>
      <c r="H127" s="35" t="s">
        <v>1060</v>
      </c>
      <c r="I127" s="35" t="s">
        <v>910</v>
      </c>
      <c r="J127" s="37" t="s">
        <v>926</v>
      </c>
      <c r="K127" s="37"/>
    </row>
    <row r="128" spans="1:11" s="29" customFormat="1" ht="30" x14ac:dyDescent="0.25">
      <c r="A128" s="24" t="str">
        <f>HYPERLINK("http://www.utmb.edu/somstudentaffairs/admissions/admission_req.html","University of Texas Medical School at Galveston")</f>
        <v>University of Texas Medical School at Galveston</v>
      </c>
      <c r="B128" s="29" t="s">
        <v>538</v>
      </c>
      <c r="C128" s="30" t="s">
        <v>44</v>
      </c>
      <c r="D128" s="30" t="s">
        <v>44</v>
      </c>
      <c r="E128" s="30" t="s">
        <v>44</v>
      </c>
      <c r="F128" s="25" t="s">
        <v>28</v>
      </c>
      <c r="G128" s="30" t="s">
        <v>44</v>
      </c>
      <c r="H128" s="25" t="s">
        <v>1041</v>
      </c>
      <c r="I128" s="25" t="s">
        <v>962</v>
      </c>
      <c r="J128" s="26" t="s">
        <v>926</v>
      </c>
      <c r="K128" s="26"/>
    </row>
    <row r="129" spans="1:11" s="33" customFormat="1" ht="30" x14ac:dyDescent="0.25">
      <c r="A129" s="32" t="str">
        <f>HYPERLINK("https://med.uth.edu/admissions/admissions-criteria/","University of Texas Medical School at Houston")</f>
        <v>University of Texas Medical School at Houston</v>
      </c>
      <c r="B129" s="33" t="s">
        <v>538</v>
      </c>
      <c r="C129" s="34" t="s">
        <v>44</v>
      </c>
      <c r="D129" s="34" t="s">
        <v>44</v>
      </c>
      <c r="E129" s="34" t="s">
        <v>44</v>
      </c>
      <c r="F129" s="37" t="s">
        <v>28</v>
      </c>
      <c r="G129" s="34" t="s">
        <v>44</v>
      </c>
      <c r="H129" s="37" t="s">
        <v>28</v>
      </c>
      <c r="I129" s="35" t="s">
        <v>963</v>
      </c>
      <c r="J129" s="37" t="s">
        <v>926</v>
      </c>
      <c r="K129" s="37"/>
    </row>
    <row r="130" spans="1:11" s="29" customFormat="1" ht="30" x14ac:dyDescent="0.25">
      <c r="A130" s="28" t="str">
        <f>HYPERLINK("http://som.uthscsa.edu/Admissions/prerequisites.asp","University of Texas Medical School at San Antonio")</f>
        <v>University of Texas Medical School at San Antonio</v>
      </c>
      <c r="B130" s="29" t="s">
        <v>538</v>
      </c>
      <c r="C130" s="30" t="s">
        <v>44</v>
      </c>
      <c r="D130" s="30" t="s">
        <v>44</v>
      </c>
      <c r="E130" s="30" t="s">
        <v>44</v>
      </c>
      <c r="F130" s="25" t="s">
        <v>44</v>
      </c>
      <c r="G130" s="30" t="s">
        <v>44</v>
      </c>
      <c r="H130" s="25" t="s">
        <v>1060</v>
      </c>
      <c r="I130" s="25" t="s">
        <v>910</v>
      </c>
      <c r="J130" s="26" t="s">
        <v>926</v>
      </c>
      <c r="K130" s="26"/>
    </row>
    <row r="131" spans="1:11" s="33" customFormat="1" ht="45" x14ac:dyDescent="0.25">
      <c r="A131" s="32" t="str">
        <f>HYPERLINK("http://www.utsouthwestern.edu/education/medical-school/admissions/apply/process/prerequisites.html","University of Texas Southwestern Medical Center at Dallas Dallas Medical School")</f>
        <v>University of Texas Southwestern Medical Center at Dallas Dallas Medical School</v>
      </c>
      <c r="B131" s="33" t="s">
        <v>538</v>
      </c>
      <c r="C131" s="34" t="s">
        <v>940</v>
      </c>
      <c r="D131" s="34" t="s">
        <v>44</v>
      </c>
      <c r="E131" s="34" t="s">
        <v>44</v>
      </c>
      <c r="F131" s="35" t="s">
        <v>44</v>
      </c>
      <c r="G131" s="34" t="s">
        <v>44</v>
      </c>
      <c r="H131" s="35" t="s">
        <v>1041</v>
      </c>
      <c r="I131" s="35" t="s">
        <v>1081</v>
      </c>
      <c r="J131" s="37" t="s">
        <v>926</v>
      </c>
      <c r="K131" s="37"/>
    </row>
    <row r="132" spans="1:11" s="29" customFormat="1" ht="124.5" customHeight="1" x14ac:dyDescent="0.25">
      <c r="A132" s="24" t="s">
        <v>881</v>
      </c>
      <c r="B132" s="29" t="s">
        <v>538</v>
      </c>
      <c r="C132" s="30" t="s">
        <v>942</v>
      </c>
      <c r="D132" s="30" t="s">
        <v>942</v>
      </c>
      <c r="E132" s="30" t="s">
        <v>44</v>
      </c>
      <c r="F132" s="25" t="s">
        <v>44</v>
      </c>
      <c r="G132" s="30" t="s">
        <v>44</v>
      </c>
      <c r="H132" s="25" t="s">
        <v>917</v>
      </c>
      <c r="I132" s="25" t="s">
        <v>918</v>
      </c>
      <c r="J132" s="25" t="s">
        <v>927</v>
      </c>
      <c r="K132" s="25" t="s">
        <v>1002</v>
      </c>
    </row>
    <row r="133" spans="1:11" s="33" customFormat="1" ht="30" x14ac:dyDescent="0.25">
      <c r="A133" s="38" t="s">
        <v>882</v>
      </c>
      <c r="B133" s="33" t="s">
        <v>538</v>
      </c>
      <c r="C133" s="34" t="s">
        <v>44</v>
      </c>
      <c r="D133" s="34" t="s">
        <v>44</v>
      </c>
      <c r="E133" s="34" t="s">
        <v>44</v>
      </c>
      <c r="F133" s="35" t="s">
        <v>44</v>
      </c>
      <c r="G133" s="34" t="s">
        <v>44</v>
      </c>
      <c r="H133" s="35" t="s">
        <v>917</v>
      </c>
      <c r="I133" s="35" t="s">
        <v>910</v>
      </c>
      <c r="J133" s="35" t="s">
        <v>926</v>
      </c>
      <c r="K133" s="37"/>
    </row>
    <row r="134" spans="1:11" s="29" customFormat="1" ht="75" x14ac:dyDescent="0.25">
      <c r="A134" s="28" t="str">
        <f>HYPERLINK("http://medicine.utah.edu/admissions/begin/premedical.php","University of Utah School of Medicine")</f>
        <v>University of Utah School of Medicine</v>
      </c>
      <c r="B134" s="29" t="s">
        <v>566</v>
      </c>
      <c r="C134" s="30" t="s">
        <v>44</v>
      </c>
      <c r="D134" s="30" t="s">
        <v>44</v>
      </c>
      <c r="E134" s="30" t="s">
        <v>1082</v>
      </c>
      <c r="F134" s="25" t="s">
        <v>28</v>
      </c>
      <c r="G134" s="30" t="s">
        <v>44</v>
      </c>
      <c r="H134" s="26" t="s">
        <v>28</v>
      </c>
      <c r="I134" s="25" t="s">
        <v>921</v>
      </c>
      <c r="J134" s="25" t="s">
        <v>1083</v>
      </c>
      <c r="K134" s="25"/>
    </row>
    <row r="135" spans="1:11" s="33" customFormat="1" x14ac:dyDescent="0.25">
      <c r="A135" s="38" t="str">
        <f>HYPERLINK("http://www.evms.edu/education/doctoral_programs/doctor_of_medicine/admissions_criteria/","Eastern Virginia Medical School ")</f>
        <v xml:space="preserve">Eastern Virginia Medical School </v>
      </c>
      <c r="B135" s="33" t="s">
        <v>571</v>
      </c>
      <c r="C135" s="34" t="s">
        <v>44</v>
      </c>
      <c r="D135" s="34" t="s">
        <v>44</v>
      </c>
      <c r="E135" s="34" t="s">
        <v>44</v>
      </c>
      <c r="F135" s="35" t="s">
        <v>28</v>
      </c>
      <c r="G135" s="34" t="s">
        <v>44</v>
      </c>
      <c r="H135" s="37" t="s">
        <v>28</v>
      </c>
      <c r="I135" s="35" t="s">
        <v>28</v>
      </c>
      <c r="J135" s="37" t="s">
        <v>28</v>
      </c>
      <c r="K135" s="37"/>
    </row>
    <row r="136" spans="1:11" s="29" customFormat="1" ht="42" customHeight="1" x14ac:dyDescent="0.25">
      <c r="A136" s="24" t="str">
        <f>HYPERLINK("http://www.medicine.virginia.edu/education/medical-students/admissions/the-uva-som-1/general-requirements.html","University of Virginia School of Medicine")</f>
        <v>University of Virginia School of Medicine</v>
      </c>
      <c r="B136" s="29" t="s">
        <v>571</v>
      </c>
      <c r="C136" s="30" t="s">
        <v>28</v>
      </c>
      <c r="D136" s="30" t="s">
        <v>28</v>
      </c>
      <c r="E136" s="30" t="s">
        <v>28</v>
      </c>
      <c r="F136" s="25" t="s">
        <v>28</v>
      </c>
      <c r="G136" s="25" t="s">
        <v>28</v>
      </c>
      <c r="H136" s="26" t="s">
        <v>28</v>
      </c>
      <c r="I136" s="25" t="s">
        <v>28</v>
      </c>
      <c r="J136" s="25" t="s">
        <v>28</v>
      </c>
      <c r="K136" s="25" t="s">
        <v>984</v>
      </c>
    </row>
    <row r="137" spans="1:11" s="33" customFormat="1" ht="78" customHeight="1" x14ac:dyDescent="0.25">
      <c r="A137" s="38" t="str">
        <f>HYPERLINK("http://www.medschool.vcu.edu/admissions/md/prerequisites.html","Virginia Commonwealth University School of Medicine")</f>
        <v>Virginia Commonwealth University School of Medicine</v>
      </c>
      <c r="B137" s="33" t="s">
        <v>571</v>
      </c>
      <c r="C137" s="34" t="s">
        <v>44</v>
      </c>
      <c r="D137" s="34" t="s">
        <v>1019</v>
      </c>
      <c r="E137" s="34" t="s">
        <v>44</v>
      </c>
      <c r="F137" s="37" t="s">
        <v>28</v>
      </c>
      <c r="G137" s="34" t="s">
        <v>44</v>
      </c>
      <c r="H137" s="35" t="s">
        <v>913</v>
      </c>
      <c r="I137" s="35" t="s">
        <v>931</v>
      </c>
      <c r="J137" s="37" t="s">
        <v>927</v>
      </c>
      <c r="K137" s="37"/>
    </row>
    <row r="138" spans="1:11" s="29" customFormat="1" ht="75" x14ac:dyDescent="0.25">
      <c r="A138" s="24" t="str">
        <f>HYPERLINK("http://www.vtc.vt.edu/education/admissions/academic_requirements.html","Virginia Tech Carilion School of Medicine")</f>
        <v>Virginia Tech Carilion School of Medicine</v>
      </c>
      <c r="B138" s="29" t="s">
        <v>571</v>
      </c>
      <c r="C138" s="30" t="s">
        <v>44</v>
      </c>
      <c r="D138" s="30" t="s">
        <v>44</v>
      </c>
      <c r="E138" s="30" t="s">
        <v>44</v>
      </c>
      <c r="F138" s="26" t="s">
        <v>28</v>
      </c>
      <c r="G138" s="30" t="s">
        <v>44</v>
      </c>
      <c r="H138" s="25" t="s">
        <v>1038</v>
      </c>
      <c r="I138" s="25" t="s">
        <v>964</v>
      </c>
      <c r="J138" s="26" t="s">
        <v>28</v>
      </c>
      <c r="K138" s="26"/>
    </row>
    <row r="139" spans="1:11" s="33" customFormat="1" ht="120.75" customHeight="1" x14ac:dyDescent="0.25">
      <c r="A139" s="32" t="str">
        <f>HYPERLINK("http://www.uvm.edu/medicine/admissions/?Page=requiredcoursework.html&amp;SM=applysubmenu.html","University of Vermont College of Medicine")</f>
        <v>University of Vermont College of Medicine</v>
      </c>
      <c r="B139" s="33" t="s">
        <v>586</v>
      </c>
      <c r="C139" s="34" t="s">
        <v>44</v>
      </c>
      <c r="D139" s="34" t="s">
        <v>1019</v>
      </c>
      <c r="E139" s="34" t="s">
        <v>44</v>
      </c>
      <c r="F139" s="37" t="s">
        <v>28</v>
      </c>
      <c r="G139" s="34" t="s">
        <v>44</v>
      </c>
      <c r="H139" s="37" t="s">
        <v>28</v>
      </c>
      <c r="I139" s="35" t="s">
        <v>28</v>
      </c>
      <c r="J139" s="37" t="s">
        <v>28</v>
      </c>
      <c r="K139" s="37"/>
    </row>
    <row r="140" spans="1:11" s="29" customFormat="1" ht="160.5" customHeight="1" x14ac:dyDescent="0.25">
      <c r="A140" s="24" t="str">
        <f>HYPERLINK("http://www.uwmedicine.org/Education/MD-Program/Admissions/Applicants/Pages/Pre-med-Course-Requirements.aspx","University of Washington School of Medicine")</f>
        <v>University of Washington School of Medicine</v>
      </c>
      <c r="B140" s="29" t="s">
        <v>590</v>
      </c>
      <c r="C140" s="30" t="s">
        <v>44</v>
      </c>
      <c r="D140" s="30" t="s">
        <v>44</v>
      </c>
      <c r="E140" s="30" t="s">
        <v>44</v>
      </c>
      <c r="F140" s="25" t="s">
        <v>28</v>
      </c>
      <c r="G140" s="30" t="s">
        <v>965</v>
      </c>
      <c r="H140" s="26" t="s">
        <v>28</v>
      </c>
      <c r="I140" s="25" t="s">
        <v>28</v>
      </c>
      <c r="J140" s="25" t="s">
        <v>928</v>
      </c>
      <c r="K140" s="15" t="s">
        <v>613</v>
      </c>
    </row>
    <row r="141" spans="1:11" s="33" customFormat="1" ht="60" x14ac:dyDescent="0.25">
      <c r="A141" s="38" t="str">
        <f>HYPERLINK("http://www.mcw.edu/medicalschool/prerequisites.htm","Medical College of Wisconsin")</f>
        <v>Medical College of Wisconsin</v>
      </c>
      <c r="B141" s="33" t="s">
        <v>594</v>
      </c>
      <c r="C141" s="34" t="s">
        <v>44</v>
      </c>
      <c r="D141" s="34" t="s">
        <v>44</v>
      </c>
      <c r="E141" s="34" t="s">
        <v>28</v>
      </c>
      <c r="F141" s="35" t="s">
        <v>44</v>
      </c>
      <c r="G141" s="34" t="s">
        <v>44</v>
      </c>
      <c r="H141" s="35" t="s">
        <v>44</v>
      </c>
      <c r="I141" s="35" t="s">
        <v>966</v>
      </c>
      <c r="J141" s="35" t="s">
        <v>1087</v>
      </c>
      <c r="K141" s="37"/>
    </row>
    <row r="142" spans="1:11" s="29" customFormat="1" ht="97.5" customHeight="1" x14ac:dyDescent="0.25">
      <c r="A142" s="28" t="str">
        <f>HYPERLINK("http://www.med.wisc.edu/education/md/admissions/premedical-requirements/110","University of Wisconsin School of Medicine and Public Health")</f>
        <v>University of Wisconsin School of Medicine and Public Health</v>
      </c>
      <c r="B142" s="29" t="s">
        <v>594</v>
      </c>
      <c r="C142" s="30" t="s">
        <v>44</v>
      </c>
      <c r="D142" s="30" t="s">
        <v>1008</v>
      </c>
      <c r="E142" s="30" t="s">
        <v>971</v>
      </c>
      <c r="F142" s="26" t="s">
        <v>44</v>
      </c>
      <c r="G142" s="30" t="s">
        <v>44</v>
      </c>
      <c r="H142" s="25" t="s">
        <v>1060</v>
      </c>
      <c r="I142" s="25" t="s">
        <v>28</v>
      </c>
      <c r="J142" s="26" t="s">
        <v>967</v>
      </c>
      <c r="K142" s="26"/>
    </row>
    <row r="143" spans="1:11" s="33" customFormat="1" ht="30" x14ac:dyDescent="0.25">
      <c r="A143" s="38" t="str">
        <f>HYPERLINK("http://musom.marshall.edu/admissions/policy.asp","Marshall University- Joan C.Edwards School of Medicine")</f>
        <v>Marshall University- Joan C.Edwards School of Medicine</v>
      </c>
      <c r="B143" s="33" t="s">
        <v>603</v>
      </c>
      <c r="C143" s="34" t="s">
        <v>44</v>
      </c>
      <c r="D143" s="34" t="s">
        <v>44</v>
      </c>
      <c r="E143" s="34" t="s">
        <v>44</v>
      </c>
      <c r="F143" s="37" t="s">
        <v>44</v>
      </c>
      <c r="G143" s="34" t="s">
        <v>44</v>
      </c>
      <c r="H143" s="37" t="s">
        <v>28</v>
      </c>
      <c r="I143" s="35" t="s">
        <v>910</v>
      </c>
      <c r="J143" s="35" t="s">
        <v>911</v>
      </c>
      <c r="K143" s="37"/>
    </row>
    <row r="144" spans="1:11" s="29" customFormat="1" ht="90" x14ac:dyDescent="0.25">
      <c r="A144" s="24" t="str">
        <f>HYPERLINK("http://medicine.hsc.wvu.edu/Students/About-SoM/Admission-Process/Admission-Requirements","West Virginia University School of Medicine")</f>
        <v>West Virginia University School of Medicine</v>
      </c>
      <c r="B144" s="29" t="s">
        <v>603</v>
      </c>
      <c r="C144" s="30" t="s">
        <v>1085</v>
      </c>
      <c r="D144" s="30" t="s">
        <v>1084</v>
      </c>
      <c r="E144" s="30" t="s">
        <v>1085</v>
      </c>
      <c r="F144" s="25" t="s">
        <v>28</v>
      </c>
      <c r="G144" s="30" t="s">
        <v>1085</v>
      </c>
      <c r="H144" s="26" t="s">
        <v>28</v>
      </c>
      <c r="I144" s="25" t="s">
        <v>1086</v>
      </c>
      <c r="J144" s="25" t="s">
        <v>912</v>
      </c>
      <c r="K144" s="26" t="s">
        <v>1003</v>
      </c>
    </row>
    <row r="145" spans="1:10" x14ac:dyDescent="0.25">
      <c r="A145" s="27"/>
      <c r="B145" s="13"/>
      <c r="C145" s="15"/>
      <c r="D145" s="15"/>
      <c r="E145" s="15"/>
      <c r="F145" s="19" t="s">
        <v>739</v>
      </c>
      <c r="G145" s="15"/>
      <c r="H145" s="15"/>
      <c r="I145" s="15"/>
      <c r="J145" s="15"/>
    </row>
    <row r="146" spans="1:10" ht="33" customHeight="1" x14ac:dyDescent="0.25">
      <c r="B146" s="13"/>
      <c r="C146" s="15"/>
      <c r="D146" s="15"/>
      <c r="E146" s="15"/>
      <c r="F146" s="15"/>
      <c r="G146" s="15"/>
      <c r="H146" s="15"/>
      <c r="I146" s="15"/>
      <c r="J146" s="15"/>
    </row>
  </sheetData>
  <hyperlinks>
    <hyperlink ref="A2" r:id="rId1" display="https://www.uab.edu/medicine/home/future-students/admissions/minimum-requirements-for-consideration"/>
    <hyperlink ref="A3" r:id="rId2" display="http://www.usahealthsystem.com/how-to-apply"/>
    <hyperlink ref="A4" r:id="rId3" display="http://medicine.uams.edu/for-medical-students/catalog/"/>
    <hyperlink ref="A5" r:id="rId4" display="http://medicine.arizona.edu/admissions/key-info/requirements"/>
    <hyperlink ref="A6" r:id="rId5" display="http://phoenixmed.arizona.edu/admission-requirements/academic"/>
    <hyperlink ref="A7" r:id="rId6" display="http://keck.usc.edu/education/md-program/admissions/"/>
    <hyperlink ref="A8" r:id="rId7" display="http://medicine.llu.edu/admissions/admissions-requirements"/>
    <hyperlink ref="A9" r:id="rId8" display="http://med.stanford.edu/md-admissions/how-to-apply/academic-requirements.html"/>
    <hyperlink ref="A10" r:id="rId9" display="http://www.ucdmc.ucdavis.edu/mdprogram/admissions/requirements.html"/>
    <hyperlink ref="A11" r:id="rId10" display="http://www.meded.uci.edu/admissions/admission-requirements.asp"/>
    <hyperlink ref="A12" r:id="rId11" display="http://medschool.ucla.edu/apply-prerequisites"/>
    <hyperlink ref="A13" r:id="rId12" display="http://medschool.ucr.edu/admissions/"/>
    <hyperlink ref="A14" r:id="rId13" display="https://meded.ucsd.edu/index.cfm/asa/admissions/application_process/"/>
    <hyperlink ref="A15" r:id="rId14" display="http://meded.ucsf.edu/admissions/getting-started"/>
    <hyperlink ref="A16" r:id="rId15" display="http://www.ucdenver.edu/academics/colleges/medicalschool/education/Admissions/apply/Pages/Requirements.aspx"/>
    <hyperlink ref="A17" r:id="rId16" display="http://www.quinnipiac.edu/academics/colleges-schools-and-departments/school-of-medicine/admissions/academic-requirements/"/>
    <hyperlink ref="A18" r:id="rId17" display="http://medicine.uconn.edu/admissions/applying-to-the-md-or-md-mba-programs/"/>
    <hyperlink ref="A19" r:id="rId18" display="https://medicine.yale.edu/education/admissions/requirements.aspx"/>
    <hyperlink ref="A20" r:id="rId19" display="http://smhs.gwu.edu/academics/md-program/admissions/application-process/minimum-eligibility-recommendations-2017-cycle"/>
    <hyperlink ref="A21" r:id="rId20" display="https://som.georgetown.edu/prospectivestudents/degrees/md/guide"/>
    <hyperlink ref="A22" r:id="rId21" display="http://healthsciences.howard.edu/education/colleges/medicine/admissions/requirements-and-procedures"/>
    <hyperlink ref="A23" r:id="rId22" display="http://med.fau.edu/admissions/md/reqpro.php"/>
    <hyperlink ref="A24" r:id="rId23" display="http://medicine.fiu.edu/admissions/md/academic-reqs/index.html"/>
    <hyperlink ref="A25" r:id="rId24" display="http://med.fsu.edu/index.cfm?page=mdAdmissions.admissionRequirements"/>
    <hyperlink ref="A26" r:id="rId25" display="http://med.ucf.edu/administrative-offices/student-affairs/admissions/application-requirements/academic-admissions-requirements/"/>
    <hyperlink ref="A27" r:id="rId26" display="http://admissions.med.ufl.edu/admission-requirements/regular-admission-requirements/"/>
    <hyperlink ref="A28" r:id="rId27" display="http://admissions.med.miami.edu/md-programs/general-md/prerequisites"/>
    <hyperlink ref="A29" r:id="rId28" display="http://health.usf.edu/medicine/mdprogram/mdadmissions/requirements.htm"/>
    <hyperlink ref="A30" r:id="rId29" display="http://med.emory.edu/education/admissions/md/how_to_apply/application_requirements.html"/>
    <hyperlink ref="A31" r:id="rId30" display="http://www.gru.edu/mcg/admissions/application/prerequisites.php"/>
    <hyperlink ref="A32" r:id="rId31" display="http://medicine.mercer.edu/admissions/md/"/>
    <hyperlink ref="A33" r:id="rId32" display="http://www.msm.edu/Admissions/mdadmissionsrequirements.php"/>
    <hyperlink ref="A34" r:id="rId33" display="http://jabsom.hawaii.edu/ed-programs/md-program/admissions-program/"/>
    <hyperlink ref="A35" r:id="rId34" display="http://www.medicine.uiowa.edu/md/requirements/"/>
    <hyperlink ref="A36" r:id="rId35" display="http://www.stritch.luc.edu/admission"/>
    <hyperlink ref="A37" r:id="rId36" display="http://www.feinberg.northwestern.edu/admissions/process/requirements/"/>
    <hyperlink ref="A38" r:id="rId37" display="https://rosalindfranklin.edu/academics/chicago-medical-school/degree-program/"/>
    <hyperlink ref="A39" r:id="rId38" display="https://www.rushu.rush.edu/rush-medical-college/doctor-medicine-md-program/admission-requirements"/>
    <hyperlink ref="A40" r:id="rId39" display="http://www.siumed.edu/studentaffairs/admissions/requirements.html"/>
    <hyperlink ref="A41" r:id="rId40" display="https://pritzker.uchicago.edu/page/admissions"/>
    <hyperlink ref="A42" r:id="rId41" display="http://www.medicine.uic.edu/education/m_d_admissions/requirements_and_timeline"/>
    <hyperlink ref="A43" r:id="rId42" display="http://admissions.medicine.iu.edu/applying-to-the-iu-school-of-medicine/"/>
    <hyperlink ref="A44" r:id="rId43" display="http://www.kumc.edu/school-of-medicine/education/admissions/premedical-requirements.html"/>
    <hyperlink ref="A45" r:id="rId44" display="http://meded.med.uky.edu/meded-admissions-prerequisites"/>
    <hyperlink ref="A46" r:id="rId45" display="http://louisville.edu/medicine/admissions/app-process/complete-prerequisites"/>
    <hyperlink ref="A47" r:id="rId46" display="http://www.lsuhscshreveport.edu/Education/som/admissions/requirements/index"/>
    <hyperlink ref="A48" r:id="rId47" display="http://www.medschool.lsuhsc.edu/admissions/Requirements.aspx"/>
    <hyperlink ref="A49" r:id="rId48" display="http://tulane.edu/som/admissions/apply/selection-factors.cfm"/>
    <hyperlink ref="A50" r:id="rId49" display="http://www.bumc.bu.edu/admissions/applicationprocess/requirements/"/>
    <hyperlink ref="A51" r:id="rId50" display="http://hms.harvard.edu/content/requirements-admission"/>
    <hyperlink ref="A52" r:id="rId51" display="http://medicine.tufts.edu/Admissions/MD-Application-Process"/>
    <hyperlink ref="A53" r:id="rId52" display="http://www.umassmed.edu/som/admissions/application-process/academic-requirements/"/>
    <hyperlink ref="A54" r:id="rId53" display="http://www.hopkinsmedicine.org/som/admissions/md/process/requirements.html"/>
    <hyperlink ref="A55" r:id="rId54" display="http://www.usuhs.edu/medschool/pdf/WhatYouNeedtoKnow.pdf"/>
    <hyperlink ref="A56" r:id="rId55" display="http://medschool.umaryland.edu/admissions/appreq.asp"/>
    <hyperlink ref="A57" r:id="rId56" display="https://www.cmich.edu/colleges/cmed/Education/MDProgram/Admissions/Pages/default.aspx"/>
    <hyperlink ref="A58" r:id="rId57" display="http://www.mdadmissions.msu.edu/ApplicationProcess/future/admiss_req.htm"/>
    <hyperlink ref="A59" r:id="rId58" display="http://www.oakland.edu/medicine/admissions/requirements"/>
    <hyperlink ref="A60" r:id="rId59" display="http://med.umich.edu/medschool/admissions/apply/requirements.html"/>
    <hyperlink ref="A61" r:id="rId60" display="http://admissions.med.wayne.edu/requirements.php"/>
    <hyperlink ref="A62" r:id="rId61" display="http://med.wmich.edu/education/students/future-medical-students/application-requirements"/>
    <hyperlink ref="A63" r:id="rId62" display="http://www.mayo.edu/mms/programs/md/admissions-and-application-process/prerequisites"/>
    <hyperlink ref="A64" r:id="rId63" display="http://www.med.umn.edu/medical-school-students/medical-school-admissions/prerequisites/index.htm"/>
    <hyperlink ref="A65" r:id="rId64" display="http://www.slu.edu/medicine/admissions/how-to-apply"/>
    <hyperlink ref="A66" r:id="rId65" display="http://medicine.missouri.edu/admissions/regular.html"/>
    <hyperlink ref="A67" r:id="rId66" display="http://med.umkc.edu/md/requirements/"/>
    <hyperlink ref="A68" r:id="rId67" display="https://mdadmissions.wustl.edu/how-to-apply/requirements/"/>
    <hyperlink ref="A69" r:id="rId68" display="http://www.umc.edu/Education/Schools/Medicine/SOM_Admissions/Admissions_Criteria.aspx"/>
    <hyperlink ref="A70" r:id="rId69" display="http://dukemed.duke.edu/modules/ooa_applicant/index.php?id=21"/>
    <hyperlink ref="A71" r:id="rId70" display="http://www.ecu.edu/cs-dhs/bsomadmissions/require.cfm"/>
    <hyperlink ref="A72" r:id="rId71" display="http://www.med.unc.edu/admit/requirements-1/academic-requirements"/>
    <hyperlink ref="A73" r:id="rId72" display="http://www.wakehealth.edu/School/MD-Program/Admissions/Academic-Requirements.htm"/>
    <hyperlink ref="A74" r:id="rId73" display="http://www.med.und.edu/student-affairs-admissions/prerequisites.cfm"/>
    <hyperlink ref="A75" r:id="rId74" display="http://medschool.creighton.edu/medicine/oma/app/req/index.php"/>
    <hyperlink ref="A76" r:id="rId75" display="http://www.unmc.edu/com/prospective/admissions/entrance-requirements.html"/>
    <hyperlink ref="A77" r:id="rId76" display="http://geiselmed.dartmouth.edu/admissions/admission/"/>
    <hyperlink ref="A78" r:id="rId77" display="http://www.rowan.edu/coopermed/students/admissions/admissionrequirements.php"/>
    <hyperlink ref="A79" r:id="rId78" display="http://njms.rutgers.edu/admissions/prospective/apply_requirements.cfm"/>
    <hyperlink ref="A80" r:id="rId79" display="http://rwjms.umdnj.edu/education/admissions/selection_process.html"/>
    <hyperlink ref="A81" r:id="rId80" display="http://som.unm.edu/education/md/admissions/prerequisites.html"/>
    <hyperlink ref="A82" r:id="rId81" display="http://medicine.nevada.edu/asa/admissions/applicants/selection-factors/course-requirements"/>
    <hyperlink ref="A83" r:id="rId82" display="http://www.amc.edu/academic/Undergraduate_Admissions/"/>
    <hyperlink ref="A84" r:id="rId83" display="http://www.einstein.yu.edu/education/md-program/admissions/application-procedure/course-requirements.aspx"/>
    <hyperlink ref="A85" r:id="rId84" display="http://ps.columbia.edu/education/admissions/applying/application-requirements"/>
    <hyperlink ref="A86" r:id="rId85" display="http://medicine.hofstra.edu/admission/md/mdadmissions_application_req.html"/>
    <hyperlink ref="A87" r:id="rId86" display="http://icahn.mssm.edu/education/medical-education/programs/md-program/admissions/academic-standards"/>
    <hyperlink ref="A88" r:id="rId87" display="https://www.nymc.edu/school-of-medicine-som/admissions--financial-aid/how-to-apply/premedical-course-requirements/"/>
    <hyperlink ref="A89" r:id="rId88" display="http://school.med.nyu.edu/md-admissions/how-apply/admissions-requirements-selection-criteria"/>
    <hyperlink ref="A90" r:id="rId89" display="http://sls.downstate.edu/admissions/com/requirements.html"/>
    <hyperlink ref="A91" r:id="rId90" display="http://www.upstate.edu/com/admissions/faqs.php"/>
    <hyperlink ref="A92" r:id="rId91" display="https://medicine.stonybrookmedicine.edu/admissions/requirements"/>
    <hyperlink ref="A93" r:id="rId92" display="http://medicine.buffalo.edu/education/md/admissions/admission_requirements.html"/>
    <hyperlink ref="A94" r:id="rId93" display="http://www.urmc.rochester.edu/education/md/admissions/process-overview/admissions-requirements.cfm"/>
    <hyperlink ref="A95" r:id="rId94" display="http://weill.cornell.edu/education/admissions/app_req.html"/>
    <hyperlink ref="A96" r:id="rId95" display="http://casemed.case.edu/admissions/process/requirements.cfm"/>
    <hyperlink ref="A97" r:id="rId96" display="http://www.neomed.edu/admissions/medicine/direct/pre-requisites-and-requirements"/>
    <hyperlink ref="A98" r:id="rId97" display="http://medicine.osu.edu/admissions/md/preparing/pages/index.aspx"/>
    <hyperlink ref="A99" r:id="rId98" display="https://med.uc.edu/medicalstudentadmissions/mdrequirements"/>
    <hyperlink ref="A100" r:id="rId99" display="http://www.utoledo.edu/med/md/admissions/index.html"/>
    <hyperlink ref="A101" r:id="rId100" display="http://www.med.wright.edu/admiss/prerequisites"/>
    <hyperlink ref="A102" r:id="rId101" display="https://www.oumedicine.com/college-of-medicine/information-about/admissions"/>
    <hyperlink ref="A103" r:id="rId102" display="http://www.ohsu.edu/xd/education/schools/school-of-medicine/academic-programs/md-program/admissions/requirements.cfm"/>
    <hyperlink ref="A104" r:id="rId103" display="https://www.drexelmed.edu/Home/Admissions/MDProgram/AdmissionsRequirements.aspx"/>
    <hyperlink ref="A105" r:id="rId104" display="http://www.jefferson.edu/university/skmc/admissions/applying.html"/>
    <hyperlink ref="A106" r:id="rId105" display="https://www2.med.psu.edu/mdadmissions/admissions/application-process/admissions-requirements/"/>
    <hyperlink ref="A107" r:id="rId106" display="http://www.med.upenn.edu/admiss/admissions1.html"/>
    <hyperlink ref="A108" r:id="rId107" display="https://medicine.temple.edu/education/md-program/how-apply/requirements"/>
    <hyperlink ref="A109" r:id="rId108" display="https://tcmc.edu/admissions/md-admissions/md-admissions-requirements/"/>
    <hyperlink ref="A110" r:id="rId109" display="http://www.medadmissions.pitt.edu/admissions-requirements/requirements.php"/>
    <hyperlink ref="A111" r:id="rId110" display="http://www.psm.edu/education/md-program/"/>
    <hyperlink ref="A112" r:id="rId111" display="http://www.sanjuanbautista.edu/Admissions.aspx"/>
    <hyperlink ref="A113" r:id="rId112" display="http://www.uccaribe.edu/admission/?page_id=1238"/>
    <hyperlink ref="A114" r:id="rId113" display="http://md.rcm.upr.edu/md-program/"/>
    <hyperlink ref="A115" r:id="rId114" display="https://www.brown.edu/academics/medical/about/info-pages/admission-requirements"/>
    <hyperlink ref="A116" r:id="rId115" display="http://academicdepartments.musc.edu/com/admissions/applying_college/"/>
    <hyperlink ref="A117" r:id="rId116" display="http://admissions.med.sc.edu/admissions.requirements.asp"/>
    <hyperlink ref="A118" r:id="rId117" display="http://www.greenvillemed.sc.edu/admission.shtml"/>
    <hyperlink ref="A119" r:id="rId118" display="http://www.usd.edu/medical-school/medical-doctor-program/application-requirements.cfm"/>
    <hyperlink ref="A120" r:id="rId119" display="http://www.etsu.edu/com/sa/admissions/requirements/academicreq.aspx"/>
    <hyperlink ref="A121" r:id="rId120" display="http://www.mmc.edu/prospectivestudents/admissions/school-of-medicine/index.html"/>
    <hyperlink ref="A122" r:id="rId121" display="http://www.uthsc.edu/Medicine/Admissions/admissionsrequirements.php"/>
    <hyperlink ref="A123" r:id="rId122" display="https://medschool.vanderbilt.edu/md-admissions/admissions-process"/>
    <hyperlink ref="A124" r:id="rId123" display="https://www.bcm.edu/education/schools/medical-school/admissions/requirements"/>
    <hyperlink ref="A125" r:id="rId124" display="https://medicine.tamhsc.edu/admissions/apply/index.html"/>
    <hyperlink ref="A126" r:id="rId125" display="http://www.ttuhsc.edu/fostersom/admissions/requirements.aspx"/>
    <hyperlink ref="A127" r:id="rId126" display="http://www.ttuhsc.edu/som/admissions/reqs.aspx"/>
    <hyperlink ref="A128" r:id="rId127" display="https://som.utmb.edu/Admissions/admission_requirements.asp"/>
    <hyperlink ref="A129" r:id="rId128" display="https://med.uth.edu/admissions/admissions-criteria/"/>
    <hyperlink ref="A130" r:id="rId129" display="http://som.uthscsa.edu/Admissions/prerequisites.asp"/>
    <hyperlink ref="A131" r:id="rId130" display="http://www.utsouthwestern.edu/education/medical-school/admissions/apply/process/prerequisites.html"/>
    <hyperlink ref="A134" r:id="rId131" display="http://medicine.utah.edu/admissions/begin/premedical.php"/>
    <hyperlink ref="A135" r:id="rId132" display="https://www.evms.edu/education/medical_programs/doctor_of_medicine/admissions_criteria/"/>
    <hyperlink ref="A136" r:id="rId133" display="https://med.virginia.edu/admissions/application-process/general-requirements/"/>
    <hyperlink ref="A137" r:id="rId134" display="http://www.medschool.vcu.edu/admissions/md/prerequisites/"/>
    <hyperlink ref="A138" r:id="rId135" display="http://medicine.vtc.vt.edu/admissions/academic_requirements/"/>
    <hyperlink ref="A139" r:id="rId136" display="http://www.uvm.edu/medicine/admissions/?Page=requiredcoursework.html&amp;SM=applysubmenu.html"/>
    <hyperlink ref="A140" r:id="rId137" display="http://www.uwmedicine.org/Education/MD-Program/Admissions/Applicants/Pages/Pre-med-Course-Requirements.aspx"/>
    <hyperlink ref="A141" r:id="rId138" display="http://www.mcw.edu/Medical-School/Admissions/Milwaukee-Campus/Apply-MCW-Milwaukee/Before-You-Apply.htm"/>
    <hyperlink ref="A142" r:id="rId139" display="http://www.med.wisc.edu/education/md/admissions/premedical-requirements/110"/>
    <hyperlink ref="A143" r:id="rId140" display="https://jcesom.marshall.edu/admissions/"/>
    <hyperlink ref="A144" r:id="rId141" display="http://medicine.hsc.wvu.edu/students/office-of-admissions/how-to-apply/"/>
    <hyperlink ref="A132" r:id="rId142"/>
    <hyperlink ref="A133" r:id="rId143"/>
  </hyperlinks>
  <pageMargins left="0.7" right="0.7" top="0.75" bottom="0.75" header="0.3" footer="0.3"/>
  <pageSetup scale="46" fitToHeight="0" orientation="landscape" r:id="rId1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Ellen Kathleen</dc:creator>
  <cp:lastModifiedBy>Williams, Ellen</cp:lastModifiedBy>
  <cp:lastPrinted>2016-10-12T16:57:06Z</cp:lastPrinted>
  <dcterms:created xsi:type="dcterms:W3CDTF">2016-05-05T14:56:06Z</dcterms:created>
  <dcterms:modified xsi:type="dcterms:W3CDTF">2016-10-27T14:23:50Z</dcterms:modified>
</cp:coreProperties>
</file>